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120" yWindow="80" windowWidth="22760" windowHeight="7580" activeTab="1"/>
  </bookViews>
  <sheets>
    <sheet name="Balance" sheetId="1" r:id="rId1"/>
    <sheet name="Edo Actividades " sheetId="2" r:id="rId2"/>
    <sheet name="Edo Flujos" sheetId="3" r:id="rId3"/>
  </sheets>
  <externalReferences>
    <externalReference r:id="rId6"/>
  </externalReferences>
  <definedNames>
    <definedName name="_xlnm.Print_Area" localSheetId="0">'Balance'!$A$1:$N$48</definedName>
    <definedName name="_xlnm.Print_Area" localSheetId="2">'Edo Flujos'!$A$1:$E$61</definedName>
  </definedNames>
  <calcPr fullCalcOnLoad="1"/>
</workbook>
</file>

<file path=xl/sharedStrings.xml><?xml version="1.0" encoding="utf-8"?>
<sst xmlns="http://schemas.openxmlformats.org/spreadsheetml/2006/main" count="164" uniqueCount="136">
  <si>
    <t xml:space="preserve"> I  N  S  T  I  T  U  T  O     E  D  U  C  A  T  I  V  O     D  E  L     N  O  R  O  E  S  T  E  ,     A . C .</t>
  </si>
  <si>
    <t xml:space="preserve">        </t>
  </si>
  <si>
    <t>2 0 1 0</t>
  </si>
  <si>
    <t>2 0 0 9</t>
  </si>
  <si>
    <t>ACTIVO</t>
  </si>
  <si>
    <t>PASIVO</t>
  </si>
  <si>
    <t xml:space="preserve"> </t>
  </si>
  <si>
    <r>
      <t xml:space="preserve">                                                             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2010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</t>
    </r>
    <r>
      <rPr>
        <b/>
        <u val="single"/>
        <sz val="10"/>
        <rFont val="Arial"/>
        <family val="2"/>
      </rPr>
      <t>2009</t>
    </r>
  </si>
  <si>
    <t>I N S T I T U T O     E  D  U  C  A  T  I  V  O     D  E  L     N  O  R  O  E  S  T  E  ,      A  .  C  .</t>
  </si>
  <si>
    <t>FONDOS</t>
  </si>
  <si>
    <t>1,2,5,6,8,9 y 10</t>
  </si>
  <si>
    <t>. (1)</t>
  </si>
  <si>
    <t>. (2)</t>
  </si>
  <si>
    <t>. (5)</t>
  </si>
  <si>
    <t>. (6)</t>
  </si>
  <si>
    <t>. (16)</t>
  </si>
  <si>
    <t>TOTAL</t>
  </si>
  <si>
    <t xml:space="preserve">  </t>
  </si>
  <si>
    <t>BCR</t>
  </si>
  <si>
    <t>RESULTADO X FONDO</t>
  </si>
  <si>
    <t>TRASPASO A OTROS FONDOS</t>
  </si>
  <si>
    <t>SALDO PATRIMONIO</t>
  </si>
  <si>
    <t>INSTITUTO EDUCATIVO DEL NOROESTE, A.C.</t>
  </si>
  <si>
    <t xml:space="preserve">       B  A  L  A  N  C  E       S  H  E  E  T</t>
  </si>
  <si>
    <t xml:space="preserve">                          (Figures expressed in pesos)</t>
  </si>
  <si>
    <t>UP TO DECEMBER 31</t>
  </si>
  <si>
    <t xml:space="preserve">A S S E T S </t>
  </si>
  <si>
    <t>WORKING CAPITAL:</t>
  </si>
  <si>
    <t xml:space="preserve">   OPERATING FUNDS (B-1 NOTE )</t>
  </si>
  <si>
    <t xml:space="preserve">   TEMPORARILY RESTRICTED FUNDS (B-1 NOTE )</t>
  </si>
  <si>
    <t xml:space="preserve">   ACCOUNTS RECEIVABLE</t>
  </si>
  <si>
    <t xml:space="preserve">    STUDENTS ( C-1 NOTE)</t>
  </si>
  <si>
    <t xml:space="preserve">     OTHERS ( C-2 NOTE)</t>
  </si>
  <si>
    <t xml:space="preserve">   ADVANCED PAYMENTS</t>
  </si>
  <si>
    <t xml:space="preserve">       SUM - WORKING CAPITAL</t>
  </si>
  <si>
    <t xml:space="preserve">   EDUCATIONAL CREDIT  (C-1 NOTE)</t>
  </si>
  <si>
    <t xml:space="preserve">   INVESTMENTS IN STOCKS AND CONTRIBUTIONS</t>
  </si>
  <si>
    <t xml:space="preserve">   REAL ESTATE AND EQUIPMENT:  (F NOTE )</t>
  </si>
  <si>
    <t xml:space="preserve">       BUILDING AND FACILITIES </t>
  </si>
  <si>
    <t xml:space="preserve">       ACADEMIC EQUIPMENT, TRANSPORTATION,</t>
  </si>
  <si>
    <t xml:space="preserve">      AND OTHERS</t>
  </si>
  <si>
    <t xml:space="preserve">        SUM ASSETS</t>
  </si>
  <si>
    <t xml:space="preserve">L I A B I L I T I E S </t>
  </si>
  <si>
    <t>SHORT TERM:</t>
  </si>
  <si>
    <t xml:space="preserve">   TAXES PAYABLE</t>
  </si>
  <si>
    <t xml:space="preserve">   ACCOUNTS PAYABLE</t>
  </si>
  <si>
    <t xml:space="preserve">      SUM - SHORT-TERM LIABILITIES</t>
  </si>
  <si>
    <t xml:space="preserve">   DEFERRED INCOME (K NOTE)</t>
  </si>
  <si>
    <t xml:space="preserve">      SUM -  TOTAL LIABILITIES</t>
  </si>
  <si>
    <t>N E T  W O R T H</t>
  </si>
  <si>
    <t xml:space="preserve">   OPERATING NET WORTH</t>
  </si>
  <si>
    <t xml:space="preserve">   TEMPORARILY RESTRICTED NET WORTH</t>
  </si>
  <si>
    <t xml:space="preserve">      SUM OF TOTAL NET WORTH</t>
  </si>
  <si>
    <t xml:space="preserve">      SUM -  LIABILITIES AND NET WORTH</t>
  </si>
  <si>
    <t>Y E A R S   E N D I N G   O N   D E C E M B E R  31,      2 0 1 0    &amp;    2 0 0 9</t>
  </si>
  <si>
    <t>O      P      E      R      A      T      I      O      N</t>
  </si>
  <si>
    <t xml:space="preserve">                                    2          0          1        0</t>
  </si>
  <si>
    <t>OPERATION</t>
  </si>
  <si>
    <t>CAMPAIGNS</t>
  </si>
  <si>
    <t>SPECIAL</t>
  </si>
  <si>
    <t>PROJECTS</t>
  </si>
  <si>
    <t>REBUILDING</t>
  </si>
  <si>
    <t>NOT</t>
  </si>
  <si>
    <t>RESTRICTED</t>
  </si>
  <si>
    <t xml:space="preserve">  T  E  M  P  O  R  A R  I  L  Y     R   E   S   T   R   I   C   T   E  D   </t>
  </si>
  <si>
    <t>EDUCATIONAL</t>
  </si>
  <si>
    <t>CREDIT</t>
  </si>
  <si>
    <t>INVESTMENTS</t>
  </si>
  <si>
    <t>I N C O M E:</t>
  </si>
  <si>
    <t>ENROLLMENT, TUITION, COURSES, AND SCHOOL FEES</t>
  </si>
  <si>
    <t>INTERESTS &amp; FINANCING</t>
  </si>
  <si>
    <t>DONATIONS</t>
  </si>
  <si>
    <t>OTHERS  (M NOTE)</t>
  </si>
  <si>
    <t>D I S B U R S E M E N T S:</t>
  </si>
  <si>
    <t xml:space="preserve">     SERVICES OF PROGRAMS:</t>
  </si>
  <si>
    <t>SALARIES AND BENEFITS</t>
  </si>
  <si>
    <t xml:space="preserve">     SUPPORTING ACTIVITIES:</t>
  </si>
  <si>
    <t>GENERAL EXPENSES</t>
  </si>
  <si>
    <t>NET WORTH FREE OF RESTRICTIONS</t>
  </si>
  <si>
    <t>TRANSFER TO RESTRICTED FUNDS</t>
  </si>
  <si>
    <t xml:space="preserve">   FUNDS AT THE END OF THE YEAR</t>
  </si>
  <si>
    <t xml:space="preserve">   ACCOUNTING NET WORTH AT THE END OF THE YEAR</t>
  </si>
  <si>
    <t>THE ATTACHED NOTES ARE PART OF THE FINANCIAL STATEMENTS</t>
  </si>
  <si>
    <t>OPERATION:</t>
  </si>
  <si>
    <t xml:space="preserve">   CHANGES IN ACCOUNTING NET WORTH</t>
  </si>
  <si>
    <t xml:space="preserve">   NET VARIATION IN NET WORTH FUNDS</t>
  </si>
  <si>
    <t>(+)  DEFERRED INCOME</t>
  </si>
  <si>
    <t>(-)   ACCOUNTS PAYABLE</t>
  </si>
  <si>
    <t>(+)  TAXES PAYABLE</t>
  </si>
  <si>
    <t>INVESTMENT</t>
  </si>
  <si>
    <t xml:space="preserve">      EQUIPMENT PURCHASE</t>
  </si>
  <si>
    <t>FINANCING:</t>
  </si>
  <si>
    <t xml:space="preserve">   AMORTIZATION OF BANK LOANS</t>
  </si>
  <si>
    <t>CASH AT THE BEGINNING OF THE YEAR</t>
  </si>
  <si>
    <t>CASH AT THE END OF THE YEAR</t>
  </si>
  <si>
    <t>YEARS ENDING ON DECEMBER 31, 2010 AND 2009</t>
  </si>
  <si>
    <t xml:space="preserve">   (G NOTE)</t>
  </si>
  <si>
    <t xml:space="preserve">       LAND</t>
  </si>
  <si>
    <t>PENSIONS' FUND (J NOTE)          $ 18,739,718          $ 21,926,344</t>
  </si>
  <si>
    <t>PRESIDENT'S OFFICE</t>
  </si>
  <si>
    <t>SCHOLARSHIPS</t>
  </si>
  <si>
    <t>NET CASH CHANGE AND OTHER CASH EQUIVALENTS</t>
  </si>
  <si>
    <t>(Figures expressed in pesos)</t>
  </si>
  <si>
    <t xml:space="preserve">   LONG-TERM PORTION OF THE WORKING LIABILITY  (I NOTE)</t>
  </si>
  <si>
    <t xml:space="preserve">   LONG-TERM LIABILITIES (I NOTE)</t>
  </si>
  <si>
    <t>CONSULTATION, SERVICES, &amp; LIAISON WITH COMPANIES</t>
  </si>
  <si>
    <t xml:space="preserve">    NET CHANGE IN THE ACCOUNTING NET WORTH</t>
  </si>
  <si>
    <t xml:space="preserve">         RESOURCES GENERATED (USED) IN THE OPERATION:</t>
  </si>
  <si>
    <t>(-)  ADVANCED PAYMENTS AND OTHER ACCOUNTS</t>
  </si>
  <si>
    <t xml:space="preserve">   LOANS</t>
  </si>
  <si>
    <t>C.P. ARTURO ALVAREZ SOTO</t>
  </si>
  <si>
    <t>CETYS UNIVERSITY</t>
  </si>
  <si>
    <t>C.P. HECTOR VELEZ GARCIA</t>
  </si>
  <si>
    <t>GENERAL ACCOUNTANT</t>
  </si>
  <si>
    <t xml:space="preserve">   REVALUATION SURPLUS (F NOTE)</t>
  </si>
  <si>
    <t>A C T I V I T Y   A N D   C H A N G E   S T A T E M E N T S   I N   N E T   W O R T H</t>
  </si>
  <si>
    <t xml:space="preserve">   INVENTORY AND OTHER ASSETS </t>
  </si>
  <si>
    <t xml:space="preserve">     SHORT-TERM DOCUMENTS PAYABLE (H NOTE)</t>
  </si>
  <si>
    <t xml:space="preserve">     SEE NOTES IN THE FINANCIAL STATEMENTS</t>
  </si>
  <si>
    <t>OPERATING COSTS (INCLUDE $2,763,434  IN 2010 &amp; $2,735,713</t>
  </si>
  <si>
    <t xml:space="preserve">    IN 2009 OF FINANCIAL COSTS)</t>
  </si>
  <si>
    <t>FUND RAISING EXPENSES</t>
  </si>
  <si>
    <t xml:space="preserve">   ACCOUNTING NET WORTH AT THE BEGINNING OF THE YEAR</t>
  </si>
  <si>
    <t xml:space="preserve">  SURPLUS REVALUATION AT THE BEGINNING OF THE YEAR</t>
  </si>
  <si>
    <t xml:space="preserve">  INCRASE IN SURPLUS DUE TO REVALUATION (F NOTE )</t>
  </si>
  <si>
    <t>RAFFLES</t>
  </si>
  <si>
    <t xml:space="preserve">STATEMENTS OF CASH FLOW </t>
  </si>
  <si>
    <t xml:space="preserve">   MORE CHARGES (CREDITS) TO THE OPERATION THAT DID NOT</t>
  </si>
  <si>
    <t xml:space="preserve">   REQUIRE CASH</t>
  </si>
  <si>
    <t xml:space="preserve">      ASSET LOSS</t>
  </si>
  <si>
    <t xml:space="preserve">      BAD DEBT</t>
  </si>
  <si>
    <t>(-)   ACCOUNTS RECEIVABLE- STUDENTS AND EDUCATIONAL CREDIT</t>
  </si>
  <si>
    <t xml:space="preserve">     NET CASH CHANGES ON OPERATING ACTIVITIES</t>
  </si>
  <si>
    <t xml:space="preserve">     NET CASH CHANGES ON INVESTMENT ACTIVITIES</t>
  </si>
  <si>
    <t>NET CASH CHANGES ON FINANCING ACTIVITIES</t>
  </si>
  <si>
    <t>VICE PRESIDENT OF ADMINISTRATIVE AFFAIRS</t>
  </si>
</sst>
</file>

<file path=xl/styles.xml><?xml version="1.0" encoding="utf-8"?>
<styleSheet xmlns="http://schemas.openxmlformats.org/spreadsheetml/2006/main">
  <numFmts count="14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  <numFmt numFmtId="164" formatCode="&quot;$&quot;#,##0_);\(&quot;$&quot;#,##0\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_(* #,##0_);_(* \(#,##0\);_(* &quot;-&quot;??_);_(@_)"/>
    <numFmt numFmtId="169" formatCode="_(&quot;$&quot;* #,##0_);_(&quot;$&quot;* \(#,##0\);_(&quot;$&quot;* &quot;-&quot;??_);_(@_)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7" fontId="4" fillId="33" borderId="0" xfId="42" applyNumberFormat="1" applyFont="1" applyFill="1" applyAlignment="1">
      <alignment/>
    </xf>
    <xf numFmtId="37" fontId="0" fillId="33" borderId="0" xfId="0" applyNumberFormat="1" applyFill="1" applyAlignment="1" applyProtection="1">
      <alignment horizontal="centerContinuous"/>
      <protection/>
    </xf>
    <xf numFmtId="0" fontId="0" fillId="33" borderId="0" xfId="0" applyFill="1" applyAlignment="1" applyProtection="1">
      <alignment horizontal="left"/>
      <protection/>
    </xf>
    <xf numFmtId="0" fontId="6" fillId="33" borderId="10" xfId="0" applyFont="1" applyFill="1" applyBorder="1" applyAlignment="1">
      <alignment horizontal="center"/>
    </xf>
    <xf numFmtId="0" fontId="0" fillId="33" borderId="0" xfId="0" applyFill="1" applyAlignment="1" applyProtection="1">
      <alignment horizontal="fill"/>
      <protection/>
    </xf>
    <xf numFmtId="37" fontId="6" fillId="33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left"/>
    </xf>
    <xf numFmtId="165" fontId="4" fillId="33" borderId="0" xfId="44" applyFont="1" applyFill="1" applyAlignment="1" applyProtection="1">
      <alignment horizontal="right"/>
      <protection/>
    </xf>
    <xf numFmtId="0" fontId="0" fillId="33" borderId="0" xfId="0" applyFill="1" applyBorder="1" applyAlignment="1">
      <alignment/>
    </xf>
    <xf numFmtId="169" fontId="4" fillId="33" borderId="0" xfId="44" applyNumberFormat="1" applyFont="1" applyFill="1" applyBorder="1" applyAlignment="1" applyProtection="1">
      <alignment/>
      <protection/>
    </xf>
    <xf numFmtId="169" fontId="4" fillId="33" borderId="0" xfId="44" applyNumberFormat="1" applyFont="1" applyFill="1" applyAlignment="1">
      <alignment/>
    </xf>
    <xf numFmtId="168" fontId="4" fillId="33" borderId="0" xfId="42" applyNumberFormat="1" applyFont="1" applyFill="1" applyBorder="1" applyAlignment="1" applyProtection="1">
      <alignment/>
      <protection/>
    </xf>
    <xf numFmtId="168" fontId="0" fillId="34" borderId="0" xfId="0" applyNumberFormat="1" applyFill="1" applyAlignment="1" applyProtection="1">
      <alignment/>
      <protection/>
    </xf>
    <xf numFmtId="168" fontId="0" fillId="33" borderId="0" xfId="0" applyNumberFormat="1" applyFill="1" applyAlignment="1" applyProtection="1">
      <alignment/>
      <protection/>
    </xf>
    <xf numFmtId="37" fontId="0" fillId="33" borderId="0" xfId="0" applyNumberFormat="1" applyFill="1" applyAlignment="1">
      <alignment/>
    </xf>
    <xf numFmtId="0" fontId="0" fillId="33" borderId="0" xfId="0" applyFill="1" applyBorder="1" applyAlignment="1" applyProtection="1">
      <alignment horizontal="left"/>
      <protection/>
    </xf>
    <xf numFmtId="37" fontId="7" fillId="33" borderId="0" xfId="42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10" xfId="42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9" fontId="4" fillId="33" borderId="0" xfId="44" applyNumberFormat="1" applyFont="1" applyFill="1" applyAlignment="1" applyProtection="1">
      <alignment/>
      <protection/>
    </xf>
    <xf numFmtId="168" fontId="4" fillId="33" borderId="0" xfId="42" applyNumberFormat="1" applyFont="1" applyFill="1" applyBorder="1" applyAlignment="1" applyProtection="1">
      <alignment horizontal="fill"/>
      <protection/>
    </xf>
    <xf numFmtId="168" fontId="4" fillId="33" borderId="0" xfId="42" applyNumberFormat="1" applyFont="1" applyFill="1" applyAlignment="1">
      <alignment/>
    </xf>
    <xf numFmtId="168" fontId="4" fillId="34" borderId="0" xfId="42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8" fontId="0" fillId="0" borderId="0" xfId="0" applyNumberFormat="1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168" fontId="4" fillId="33" borderId="0" xfId="0" applyNumberFormat="1" applyFont="1" applyFill="1" applyAlignment="1" applyProtection="1">
      <alignment/>
      <protection/>
    </xf>
    <xf numFmtId="37" fontId="4" fillId="33" borderId="0" xfId="42" applyNumberFormat="1" applyFont="1" applyFill="1" applyAlignment="1">
      <alignment horizontal="right"/>
    </xf>
    <xf numFmtId="168" fontId="0" fillId="33" borderId="0" xfId="0" applyNumberFormat="1" applyFill="1" applyBorder="1" applyAlignment="1" applyProtection="1">
      <alignment/>
      <protection/>
    </xf>
    <xf numFmtId="168" fontId="8" fillId="33" borderId="0" xfId="42" applyNumberFormat="1" applyFont="1" applyFill="1" applyBorder="1" applyAlignment="1" applyProtection="1">
      <alignment/>
      <protection/>
    </xf>
    <xf numFmtId="37" fontId="4" fillId="33" borderId="0" xfId="42" applyNumberFormat="1" applyFont="1" applyFill="1" applyBorder="1" applyAlignment="1">
      <alignment/>
    </xf>
    <xf numFmtId="168" fontId="4" fillId="33" borderId="0" xfId="42" applyNumberFormat="1" applyFont="1" applyFill="1" applyBorder="1" applyAlignment="1">
      <alignment/>
    </xf>
    <xf numFmtId="168" fontId="4" fillId="33" borderId="0" xfId="42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169" fontId="4" fillId="33" borderId="11" xfId="44" applyNumberFormat="1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horizontal="left"/>
      <protection/>
    </xf>
    <xf numFmtId="168" fontId="4" fillId="33" borderId="0" xfId="42" applyNumberFormat="1" applyFont="1" applyFill="1" applyAlignment="1" applyProtection="1">
      <alignment horizontal="left"/>
      <protection/>
    </xf>
    <xf numFmtId="0" fontId="10" fillId="33" borderId="0" xfId="0" applyFont="1" applyFill="1" applyAlignment="1">
      <alignment/>
    </xf>
    <xf numFmtId="49" fontId="0" fillId="33" borderId="0" xfId="0" applyNumberFormat="1" applyFill="1" applyAlignment="1" quotePrefix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37" fontId="4" fillId="33" borderId="10" xfId="0" applyNumberFormat="1" applyFont="1" applyFill="1" applyBorder="1" applyAlignment="1" applyProtection="1">
      <alignment horizontal="center"/>
      <protection/>
    </xf>
    <xf numFmtId="37" fontId="4" fillId="33" borderId="0" xfId="42" applyNumberFormat="1" applyFont="1" applyFill="1" applyAlignment="1" applyProtection="1">
      <alignment horizontal="right"/>
      <protection/>
    </xf>
    <xf numFmtId="169" fontId="4" fillId="33" borderId="0" xfId="44" applyNumberFormat="1" applyFont="1" applyFill="1" applyAlignment="1" applyProtection="1">
      <alignment horizontal="left"/>
      <protection/>
    </xf>
    <xf numFmtId="169" fontId="4" fillId="33" borderId="0" xfId="44" applyNumberFormat="1" applyFont="1" applyFill="1" applyBorder="1" applyAlignment="1">
      <alignment/>
    </xf>
    <xf numFmtId="168" fontId="4" fillId="33" borderId="10" xfId="42" applyNumberFormat="1" applyFont="1" applyFill="1" applyBorder="1" applyAlignment="1">
      <alignment/>
    </xf>
    <xf numFmtId="168" fontId="4" fillId="33" borderId="10" xfId="42" applyNumberFormat="1" applyFont="1" applyFill="1" applyBorder="1" applyAlignment="1" applyProtection="1">
      <alignment horizontal="left"/>
      <protection/>
    </xf>
    <xf numFmtId="0" fontId="7" fillId="33" borderId="0" xfId="0" applyFont="1" applyFill="1" applyAlignment="1">
      <alignment/>
    </xf>
    <xf numFmtId="168" fontId="7" fillId="33" borderId="0" xfId="42" applyNumberFormat="1" applyFont="1" applyFill="1" applyAlignment="1" applyProtection="1">
      <alignment/>
      <protection/>
    </xf>
    <xf numFmtId="168" fontId="7" fillId="33" borderId="0" xfId="42" applyNumberFormat="1" applyFont="1" applyFill="1" applyBorder="1" applyAlignment="1" applyProtection="1">
      <alignment/>
      <protection/>
    </xf>
    <xf numFmtId="168" fontId="7" fillId="33" borderId="0" xfId="42" applyNumberFormat="1" applyFont="1" applyFill="1" applyAlignment="1">
      <alignment/>
    </xf>
    <xf numFmtId="168" fontId="4" fillId="33" borderId="0" xfId="42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fill"/>
      <protection/>
    </xf>
    <xf numFmtId="0" fontId="4" fillId="33" borderId="0" xfId="0" applyFont="1" applyFill="1" applyAlignment="1" applyProtection="1">
      <alignment horizontal="fill"/>
      <protection/>
    </xf>
    <xf numFmtId="168" fontId="4" fillId="33" borderId="0" xfId="42" applyNumberFormat="1" applyFont="1" applyFill="1" applyAlignment="1" applyProtection="1">
      <alignment horizontal="fill"/>
      <protection/>
    </xf>
    <xf numFmtId="168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41" fontId="7" fillId="33" borderId="0" xfId="44" applyNumberFormat="1" applyFont="1" applyFill="1" applyBorder="1" applyAlignment="1" applyProtection="1">
      <alignment/>
      <protection/>
    </xf>
    <xf numFmtId="41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 applyProtection="1">
      <alignment horizontal="left"/>
      <protection/>
    </xf>
    <xf numFmtId="37" fontId="7" fillId="33" borderId="0" xfId="42" applyNumberFormat="1" applyFont="1" applyFill="1" applyBorder="1" applyAlignment="1">
      <alignment/>
    </xf>
    <xf numFmtId="169" fontId="7" fillId="33" borderId="0" xfId="44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/>
    </xf>
    <xf numFmtId="37" fontId="4" fillId="33" borderId="10" xfId="42" applyNumberFormat="1" applyFont="1" applyFill="1" applyBorder="1" applyAlignment="1">
      <alignment/>
    </xf>
    <xf numFmtId="169" fontId="4" fillId="33" borderId="12" xfId="44" applyNumberFormat="1" applyFont="1" applyFill="1" applyBorder="1" applyAlignment="1">
      <alignment/>
    </xf>
    <xf numFmtId="37" fontId="54" fillId="0" borderId="0" xfId="42" applyNumberFormat="1" applyFont="1" applyFill="1" applyAlignment="1">
      <alignment/>
    </xf>
    <xf numFmtId="37" fontId="54" fillId="0" borderId="0" xfId="42" applyNumberFormat="1" applyFont="1" applyFill="1" applyBorder="1" applyAlignment="1">
      <alignment/>
    </xf>
    <xf numFmtId="37" fontId="15" fillId="33" borderId="0" xfId="42" applyNumberFormat="1" applyFont="1" applyFill="1" applyAlignment="1">
      <alignment/>
    </xf>
    <xf numFmtId="37" fontId="15" fillId="33" borderId="0" xfId="42" applyNumberFormat="1" applyFont="1" applyFill="1" applyBorder="1" applyAlignment="1">
      <alignment/>
    </xf>
    <xf numFmtId="37" fontId="16" fillId="33" borderId="0" xfId="42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 horizontal="centerContinuous"/>
      <protection/>
    </xf>
    <xf numFmtId="0" fontId="17" fillId="33" borderId="0" xfId="0" applyFont="1" applyFill="1" applyAlignment="1">
      <alignment/>
    </xf>
    <xf numFmtId="0" fontId="17" fillId="0" borderId="0" xfId="0" applyFont="1" applyAlignment="1" applyProtection="1">
      <alignment horizontal="left"/>
      <protection/>
    </xf>
    <xf numFmtId="0" fontId="17" fillId="33" borderId="0" xfId="0" applyFont="1" applyFill="1" applyAlignment="1" applyProtection="1">
      <alignment horizontal="left"/>
      <protection/>
    </xf>
    <xf numFmtId="168" fontId="17" fillId="33" borderId="0" xfId="42" applyNumberFormat="1" applyFont="1" applyFill="1" applyBorder="1" applyAlignment="1" applyProtection="1">
      <alignment/>
      <protection/>
    </xf>
    <xf numFmtId="168" fontId="17" fillId="33" borderId="0" xfId="0" applyNumberFormat="1" applyFont="1" applyFill="1" applyBorder="1" applyAlignment="1" applyProtection="1">
      <alignment/>
      <protection/>
    </xf>
    <xf numFmtId="0" fontId="17" fillId="33" borderId="0" xfId="0" applyFont="1" applyFill="1" applyBorder="1" applyAlignment="1">
      <alignment/>
    </xf>
    <xf numFmtId="166" fontId="17" fillId="33" borderId="0" xfId="0" applyNumberFormat="1" applyFont="1" applyFill="1" applyAlignment="1" applyProtection="1">
      <alignment horizontal="left"/>
      <protection/>
    </xf>
    <xf numFmtId="166" fontId="17" fillId="33" borderId="0" xfId="0" applyNumberFormat="1" applyFont="1" applyFill="1" applyAlignment="1">
      <alignment/>
    </xf>
    <xf numFmtId="0" fontId="17" fillId="0" borderId="0" xfId="0" applyFont="1" applyFill="1" applyAlignment="1" applyProtection="1">
      <alignment horizontal="left"/>
      <protection/>
    </xf>
    <xf numFmtId="166" fontId="6" fillId="33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34" borderId="0" xfId="0" applyFill="1" applyAlignment="1">
      <alignment horizontal="center"/>
    </xf>
    <xf numFmtId="37" fontId="0" fillId="33" borderId="0" xfId="0" applyNumberFormat="1" applyFill="1" applyAlignment="1" applyProtection="1">
      <alignment horizontal="center"/>
      <protection/>
    </xf>
    <xf numFmtId="169" fontId="4" fillId="0" borderId="0" xfId="44" applyNumberFormat="1" applyFont="1" applyFill="1" applyBorder="1" applyAlignment="1" applyProtection="1">
      <alignment/>
      <protection/>
    </xf>
    <xf numFmtId="168" fontId="4" fillId="0" borderId="0" xfId="42" applyNumberFormat="1" applyFont="1" applyFill="1" applyBorder="1" applyAlignment="1" applyProtection="1">
      <alignment/>
      <protection/>
    </xf>
    <xf numFmtId="169" fontId="4" fillId="0" borderId="11" xfId="44" applyNumberFormat="1" applyFont="1" applyFill="1" applyBorder="1" applyAlignment="1" applyProtection="1">
      <alignment/>
      <protection/>
    </xf>
    <xf numFmtId="0" fontId="0" fillId="33" borderId="0" xfId="0" applyFill="1" applyAlignment="1">
      <alignment horizontal="center"/>
    </xf>
    <xf numFmtId="0" fontId="55" fillId="33" borderId="0" xfId="0" applyFont="1" applyFill="1" applyAlignment="1">
      <alignment/>
    </xf>
    <xf numFmtId="37" fontId="7" fillId="33" borderId="0" xfId="0" applyNumberFormat="1" applyFont="1" applyFill="1" applyAlignment="1" applyProtection="1">
      <alignment horizontal="center"/>
      <protection/>
    </xf>
    <xf numFmtId="37" fontId="7" fillId="0" borderId="0" xfId="0" applyNumberFormat="1" applyFont="1" applyFill="1" applyAlignment="1" applyProtection="1">
      <alignment horizontal="center"/>
      <protection/>
    </xf>
    <xf numFmtId="37" fontId="7" fillId="33" borderId="0" xfId="0" applyNumberFormat="1" applyFont="1" applyFill="1" applyAlignment="1" applyProtection="1">
      <alignment/>
      <protection/>
    </xf>
    <xf numFmtId="37" fontId="55" fillId="33" borderId="0" xfId="0" applyNumberFormat="1" applyFont="1" applyFill="1" applyAlignment="1" applyProtection="1">
      <alignment horizontal="center"/>
      <protection/>
    </xf>
    <xf numFmtId="0" fontId="7" fillId="33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 applyProtection="1">
      <alignment horizontal="center"/>
      <protection/>
    </xf>
    <xf numFmtId="37" fontId="55" fillId="33" borderId="10" xfId="0" applyNumberFormat="1" applyFont="1" applyFill="1" applyBorder="1" applyAlignment="1" applyProtection="1">
      <alignment horizontal="center"/>
      <protection/>
    </xf>
    <xf numFmtId="37" fontId="55" fillId="33" borderId="0" xfId="0" applyNumberFormat="1" applyFont="1" applyFill="1" applyBorder="1" applyAlignment="1" applyProtection="1">
      <alignment horizontal="center"/>
      <protection/>
    </xf>
    <xf numFmtId="0" fontId="55" fillId="33" borderId="10" xfId="0" applyFont="1" applyFill="1" applyBorder="1" applyAlignment="1" applyProtection="1">
      <alignment horizontal="center"/>
      <protection/>
    </xf>
    <xf numFmtId="0" fontId="55" fillId="33" borderId="0" xfId="0" applyFont="1" applyFill="1" applyAlignment="1" applyProtection="1">
      <alignment horizontal="fill"/>
      <protection/>
    </xf>
    <xf numFmtId="0" fontId="55" fillId="33" borderId="0" xfId="0" applyFont="1" applyFill="1" applyBorder="1" applyAlignment="1" applyProtection="1">
      <alignment horizontal="fill"/>
      <protection/>
    </xf>
    <xf numFmtId="1" fontId="55" fillId="33" borderId="1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55" fillId="33" borderId="0" xfId="0" applyFont="1" applyFill="1" applyAlignment="1" applyProtection="1">
      <alignment horizontal="left"/>
      <protection/>
    </xf>
    <xf numFmtId="169" fontId="55" fillId="33" borderId="0" xfId="0" applyNumberFormat="1" applyFont="1" applyFill="1" applyAlignment="1">
      <alignment/>
    </xf>
    <xf numFmtId="168" fontId="55" fillId="33" borderId="0" xfId="0" applyNumberFormat="1" applyFont="1" applyFill="1" applyAlignment="1" applyProtection="1">
      <alignment/>
      <protection/>
    </xf>
    <xf numFmtId="164" fontId="55" fillId="33" borderId="0" xfId="0" applyNumberFormat="1" applyFont="1" applyFill="1" applyAlignment="1" applyProtection="1">
      <alignment/>
      <protection/>
    </xf>
    <xf numFmtId="0" fontId="55" fillId="0" borderId="0" xfId="0" applyFont="1" applyFill="1" applyAlignment="1" applyProtection="1">
      <alignment horizontal="left"/>
      <protection/>
    </xf>
    <xf numFmtId="168" fontId="55" fillId="33" borderId="0" xfId="0" applyNumberFormat="1" applyFont="1" applyFill="1" applyAlignment="1">
      <alignment/>
    </xf>
    <xf numFmtId="167" fontId="55" fillId="33" borderId="0" xfId="0" applyNumberFormat="1" applyFont="1" applyFill="1" applyAlignment="1">
      <alignment/>
    </xf>
    <xf numFmtId="37" fontId="55" fillId="33" borderId="0" xfId="42" applyNumberFormat="1" applyFont="1" applyFill="1" applyAlignment="1">
      <alignment/>
    </xf>
    <xf numFmtId="37" fontId="55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 applyProtection="1">
      <alignment horizontal="left"/>
      <protection/>
    </xf>
    <xf numFmtId="169" fontId="5" fillId="33" borderId="0" xfId="44" applyNumberFormat="1" applyFont="1" applyFill="1" applyAlignment="1">
      <alignment/>
    </xf>
    <xf numFmtId="169" fontId="5" fillId="33" borderId="0" xfId="44" applyNumberFormat="1" applyFont="1" applyFill="1" applyBorder="1" applyAlignment="1" applyProtection="1">
      <alignment/>
      <protection/>
    </xf>
    <xf numFmtId="169" fontId="5" fillId="33" borderId="0" xfId="0" applyNumberFormat="1" applyFont="1" applyFill="1" applyAlignment="1">
      <alignment/>
    </xf>
    <xf numFmtId="168" fontId="5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wrapText="1"/>
      <protection/>
    </xf>
    <xf numFmtId="37" fontId="5" fillId="33" borderId="0" xfId="42" applyNumberFormat="1" applyFont="1" applyFill="1" applyAlignment="1">
      <alignment/>
    </xf>
    <xf numFmtId="168" fontId="5" fillId="33" borderId="0" xfId="42" applyNumberFormat="1" applyFont="1" applyFill="1" applyAlignment="1">
      <alignment/>
    </xf>
    <xf numFmtId="37" fontId="5" fillId="33" borderId="0" xfId="42" applyNumberFormat="1" applyFont="1" applyFill="1" applyBorder="1" applyAlignment="1">
      <alignment/>
    </xf>
    <xf numFmtId="168" fontId="5" fillId="33" borderId="0" xfId="42" applyNumberFormat="1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169" fontId="5" fillId="33" borderId="0" xfId="44" applyNumberFormat="1" applyFont="1" applyFill="1" applyBorder="1" applyAlignment="1">
      <alignment/>
    </xf>
    <xf numFmtId="168" fontId="5" fillId="34" borderId="0" xfId="42" applyNumberFormat="1" applyFont="1" applyFill="1" applyAlignment="1">
      <alignment/>
    </xf>
    <xf numFmtId="168" fontId="5" fillId="33" borderId="0" xfId="44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horizontal="right"/>
      <protection/>
    </xf>
    <xf numFmtId="41" fontId="5" fillId="33" borderId="0" xfId="42" applyNumberFormat="1" applyFont="1" applyFill="1" applyBorder="1" applyAlignment="1">
      <alignment/>
    </xf>
    <xf numFmtId="37" fontId="5" fillId="33" borderId="0" xfId="42" applyNumberFormat="1" applyFont="1" applyFill="1" applyBorder="1" applyAlignment="1" applyProtection="1">
      <alignment/>
      <protection/>
    </xf>
    <xf numFmtId="168" fontId="5" fillId="33" borderId="10" xfId="42" applyNumberFormat="1" applyFont="1" applyFill="1" applyBorder="1" applyAlignment="1">
      <alignment/>
    </xf>
    <xf numFmtId="37" fontId="5" fillId="33" borderId="0" xfId="0" applyNumberFormat="1" applyFont="1" applyFill="1" applyBorder="1" applyAlignment="1" applyProtection="1">
      <alignment horizontal="right"/>
      <protection/>
    </xf>
    <xf numFmtId="41" fontId="5" fillId="33" borderId="0" xfId="42" applyNumberFormat="1" applyFont="1" applyFill="1" applyBorder="1" applyAlignment="1" applyProtection="1">
      <alignment/>
      <protection/>
    </xf>
    <xf numFmtId="168" fontId="5" fillId="33" borderId="0" xfId="42" applyNumberFormat="1" applyFont="1" applyFill="1" applyBorder="1" applyAlignment="1" applyProtection="1">
      <alignment/>
      <protection/>
    </xf>
    <xf numFmtId="41" fontId="5" fillId="33" borderId="0" xfId="42" applyNumberFormat="1" applyFont="1" applyFill="1" applyBorder="1" applyAlignment="1" applyProtection="1">
      <alignment horizontal="fill"/>
      <protection/>
    </xf>
    <xf numFmtId="168" fontId="5" fillId="33" borderId="0" xfId="42" applyNumberFormat="1" applyFont="1" applyFill="1" applyBorder="1" applyAlignment="1" applyProtection="1">
      <alignment horizontal="fill"/>
      <protection/>
    </xf>
    <xf numFmtId="167" fontId="5" fillId="33" borderId="0" xfId="0" applyNumberFormat="1" applyFont="1" applyFill="1" applyAlignment="1">
      <alignment/>
    </xf>
    <xf numFmtId="0" fontId="19" fillId="33" borderId="0" xfId="0" applyFont="1" applyFill="1" applyAlignment="1" applyProtection="1">
      <alignment horizontal="left"/>
      <protection/>
    </xf>
    <xf numFmtId="168" fontId="5" fillId="33" borderId="0" xfId="42" applyNumberFormat="1" applyFont="1" applyFill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fill"/>
      <protection/>
    </xf>
    <xf numFmtId="168" fontId="5" fillId="34" borderId="10" xfId="42" applyNumberFormat="1" applyFont="1" applyFill="1" applyBorder="1" applyAlignment="1">
      <alignment/>
    </xf>
    <xf numFmtId="0" fontId="19" fillId="33" borderId="0" xfId="0" applyFont="1" applyFill="1" applyAlignment="1" applyProtection="1">
      <alignment horizontal="left" wrapText="1"/>
      <protection/>
    </xf>
    <xf numFmtId="41" fontId="5" fillId="33" borderId="0" xfId="0" applyNumberFormat="1" applyFont="1" applyFill="1" applyBorder="1" applyAlignment="1">
      <alignment/>
    </xf>
    <xf numFmtId="41" fontId="5" fillId="33" borderId="0" xfId="44" applyNumberFormat="1" applyFont="1" applyFill="1" applyBorder="1" applyAlignment="1">
      <alignment/>
    </xf>
    <xf numFmtId="169" fontId="5" fillId="33" borderId="11" xfId="44" applyNumberFormat="1" applyFont="1" applyFill="1" applyBorder="1" applyAlignment="1">
      <alignment/>
    </xf>
    <xf numFmtId="37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Continuous"/>
    </xf>
    <xf numFmtId="37" fontId="19" fillId="33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37" fontId="0" fillId="33" borderId="0" xfId="0" applyNumberFormat="1" applyFill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0" fontId="37" fillId="33" borderId="10" xfId="0" applyFont="1" applyFill="1" applyBorder="1" applyAlignment="1">
      <alignment horizontal="center"/>
    </xf>
    <xf numFmtId="49" fontId="0" fillId="33" borderId="0" xfId="0" applyNumberFormat="1" applyFill="1" applyAlignment="1" quotePrefix="1">
      <alignment horizontal="center"/>
    </xf>
    <xf numFmtId="0" fontId="4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37" fontId="9" fillId="33" borderId="0" xfId="0" applyNumberFormat="1" applyFont="1" applyFill="1" applyAlignment="1" applyProtection="1">
      <alignment horizontal="center"/>
      <protection/>
    </xf>
    <xf numFmtId="0" fontId="55" fillId="33" borderId="0" xfId="0" applyFont="1" applyFill="1" applyAlignment="1">
      <alignment horizontal="center"/>
    </xf>
    <xf numFmtId="37" fontId="7" fillId="33" borderId="0" xfId="0" applyNumberFormat="1" applyFont="1" applyFill="1" applyAlignment="1" applyProtection="1">
      <alignment horizontal="center"/>
      <protection/>
    </xf>
    <xf numFmtId="37" fontId="7" fillId="0" borderId="0" xfId="0" applyNumberFormat="1" applyFont="1" applyFill="1" applyAlignment="1" applyProtection="1">
      <alignment horizontal="center"/>
      <protection/>
    </xf>
    <xf numFmtId="37" fontId="7" fillId="33" borderId="0" xfId="42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guel%20Aguilera\AppData\Local\Microsoft\Windows\Temporary%20Internet%20Files\Content.Outlook\LAOGMBHE\Estados%20Finacieros%20IENAC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Edo actividades"/>
      <sheetName val="Edo d flujos"/>
    </sheetNames>
    <sheetDataSet>
      <sheetData sheetId="0">
        <row r="13">
          <cell r="N13">
            <v>1069814</v>
          </cell>
        </row>
        <row r="14">
          <cell r="N14">
            <v>-494111</v>
          </cell>
        </row>
        <row r="22">
          <cell r="N22">
            <v>-799602</v>
          </cell>
        </row>
      </sheetData>
      <sheetData sheetId="1">
        <row r="42">
          <cell r="U42">
            <v>43081698.860000014</v>
          </cell>
          <cell r="W42">
            <v>16537592</v>
          </cell>
        </row>
        <row r="48">
          <cell r="J48">
            <v>294186691.86</v>
          </cell>
          <cell r="M48">
            <v>66709114</v>
          </cell>
          <cell r="O48">
            <v>4479550</v>
          </cell>
          <cell r="Q48">
            <v>4005416</v>
          </cell>
          <cell r="S48">
            <v>21204196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">
      <selection activeCell="A3" sqref="A3:M3"/>
    </sheetView>
  </sheetViews>
  <sheetFormatPr defaultColWidth="8.8515625" defaultRowHeight="15"/>
  <cols>
    <col min="1" max="1" width="57.421875" style="1" customWidth="1"/>
    <col min="2" max="2" width="6.421875" style="1" customWidth="1"/>
    <col min="3" max="3" width="16.00390625" style="1" customWidth="1"/>
    <col min="4" max="4" width="5.28125" style="1" customWidth="1"/>
    <col min="5" max="5" width="16.00390625" style="1" customWidth="1"/>
    <col min="6" max="6" width="8.8515625" style="1" customWidth="1"/>
    <col min="7" max="7" width="57.421875" style="1" customWidth="1"/>
    <col min="8" max="8" width="6.421875" style="1" customWidth="1"/>
    <col min="9" max="9" width="16.00390625" style="1" customWidth="1"/>
    <col min="10" max="10" width="5.28125" style="1" customWidth="1"/>
    <col min="11" max="11" width="16.00390625" style="1" customWidth="1"/>
    <col min="12" max="12" width="8.8515625" style="1" hidden="1" customWidth="1"/>
    <col min="13" max="13" width="14.28125" style="2" hidden="1" customWidth="1"/>
    <col min="14" max="14" width="12.00390625" style="3" hidden="1" customWidth="1"/>
    <col min="15" max="15" width="10.7109375" style="3" bestFit="1" customWidth="1"/>
    <col min="16" max="16" width="9.7109375" style="1" bestFit="1" customWidth="1"/>
    <col min="17" max="16384" width="8.8515625" style="1" customWidth="1"/>
  </cols>
  <sheetData>
    <row r="1" spans="1:11" ht="16.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4" ht="16.5">
      <c r="A2" s="172" t="s">
        <v>23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3" ht="15">
      <c r="A3" s="173" t="s">
        <v>24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5" spans="3:11" ht="13.5">
      <c r="C5" s="82" t="s">
        <v>25</v>
      </c>
      <c r="D5" s="4"/>
      <c r="E5" s="4"/>
      <c r="I5" s="82" t="s">
        <v>25</v>
      </c>
      <c r="J5" s="4"/>
      <c r="K5" s="4"/>
    </row>
    <row r="6" ht="13.5">
      <c r="C6" s="5" t="s">
        <v>1</v>
      </c>
    </row>
    <row r="7" spans="3:14" ht="15.75">
      <c r="C7" s="6" t="s">
        <v>2</v>
      </c>
      <c r="E7" s="6" t="s">
        <v>3</v>
      </c>
      <c r="I7" s="6" t="str">
        <f>+C7</f>
        <v>2 0 1 0</v>
      </c>
      <c r="K7" s="6" t="str">
        <f>+E7</f>
        <v>2 0 0 9</v>
      </c>
      <c r="M7" s="2" t="s">
        <v>4</v>
      </c>
      <c r="N7" s="3" t="s">
        <v>5</v>
      </c>
    </row>
    <row r="8" spans="3:11" ht="13.5">
      <c r="C8" s="7"/>
      <c r="D8" s="5" t="s">
        <v>6</v>
      </c>
      <c r="E8" s="7"/>
      <c r="I8" s="7"/>
      <c r="J8" s="5" t="s">
        <v>6</v>
      </c>
      <c r="K8" s="7"/>
    </row>
    <row r="10" spans="1:11" ht="15.75">
      <c r="A10" s="8" t="s">
        <v>26</v>
      </c>
      <c r="B10" s="9"/>
      <c r="C10" s="10"/>
      <c r="E10" s="10"/>
      <c r="G10" s="8" t="s">
        <v>42</v>
      </c>
      <c r="H10" s="9"/>
      <c r="I10" s="5" t="s">
        <v>6</v>
      </c>
      <c r="J10" s="9"/>
      <c r="K10" s="5" t="s">
        <v>6</v>
      </c>
    </row>
    <row r="11" spans="1:11" ht="13.5">
      <c r="A11" s="83" t="s">
        <v>27</v>
      </c>
      <c r="G11" s="83" t="s">
        <v>43</v>
      </c>
      <c r="H11" s="83"/>
      <c r="I11" s="11"/>
      <c r="K11" s="11"/>
    </row>
    <row r="12" spans="1:14" ht="13.5">
      <c r="A12" s="5" t="s">
        <v>28</v>
      </c>
      <c r="B12" s="5"/>
      <c r="C12" s="96">
        <v>42548916</v>
      </c>
      <c r="D12" s="5"/>
      <c r="E12" s="96">
        <v>49773923</v>
      </c>
      <c r="G12" s="89" t="s">
        <v>44</v>
      </c>
      <c r="H12" s="90"/>
      <c r="I12" s="12">
        <v>9573040</v>
      </c>
      <c r="J12" s="13"/>
      <c r="K12" s="12">
        <v>8503226</v>
      </c>
      <c r="N12" s="3">
        <f>+I12-K12</f>
        <v>1069814</v>
      </c>
    </row>
    <row r="13" spans="1:16" ht="13.5">
      <c r="A13" s="1" t="s">
        <v>29</v>
      </c>
      <c r="C13" s="97">
        <v>74531326</v>
      </c>
      <c r="E13" s="97">
        <v>48933914</v>
      </c>
      <c r="G13" s="89" t="s">
        <v>45</v>
      </c>
      <c r="H13" s="90"/>
      <c r="I13" s="15">
        <f>933386+35993118-29446946</f>
        <v>7479558</v>
      </c>
      <c r="J13" s="16"/>
      <c r="K13" s="16">
        <f>7066907+906762</f>
        <v>7973669</v>
      </c>
      <c r="N13" s="3">
        <f>+I13-K13</f>
        <v>-494111</v>
      </c>
      <c r="P13" s="17"/>
    </row>
    <row r="14" spans="1:16" ht="13.5">
      <c r="A14" s="84" t="s">
        <v>30</v>
      </c>
      <c r="C14" s="18"/>
      <c r="E14" s="18"/>
      <c r="G14" s="5" t="s">
        <v>117</v>
      </c>
      <c r="I14" s="16">
        <v>1650000</v>
      </c>
      <c r="J14" s="16"/>
      <c r="K14" s="16">
        <v>4707667</v>
      </c>
      <c r="N14" s="19">
        <f>+I14+I15+I20-K14-K15-K20</f>
        <v>26264686</v>
      </c>
      <c r="P14" s="17"/>
    </row>
    <row r="15" spans="1:16" ht="13.5">
      <c r="A15" s="85" t="s">
        <v>31</v>
      </c>
      <c r="B15" s="85"/>
      <c r="C15" s="14">
        <f>35218334</f>
        <v>35218334</v>
      </c>
      <c r="E15" s="14">
        <v>21612209</v>
      </c>
      <c r="G15" s="89" t="s">
        <v>103</v>
      </c>
      <c r="I15" s="16">
        <v>1996766</v>
      </c>
      <c r="J15" s="16"/>
      <c r="K15" s="16">
        <v>124593</v>
      </c>
      <c r="M15" s="20">
        <f>+E15-C15</f>
        <v>-13606125</v>
      </c>
      <c r="P15" s="17"/>
    </row>
    <row r="16" spans="1:16" ht="13.5">
      <c r="A16" s="85" t="s">
        <v>32</v>
      </c>
      <c r="B16" s="83"/>
      <c r="C16" s="21">
        <v>6682231</v>
      </c>
      <c r="E16" s="21">
        <v>5190114</v>
      </c>
      <c r="I16" s="22"/>
      <c r="K16" s="23"/>
      <c r="M16" s="20">
        <f>+E16-C16</f>
        <v>-1492117</v>
      </c>
      <c r="P16" s="17"/>
    </row>
    <row r="17" spans="2:11" ht="13.5">
      <c r="B17" s="24"/>
      <c r="C17" s="25">
        <f>+C15+C16</f>
        <v>41900565</v>
      </c>
      <c r="E17" s="25">
        <f>+E15+E16</f>
        <v>26802323</v>
      </c>
      <c r="G17" s="89" t="s">
        <v>46</v>
      </c>
      <c r="I17" s="25">
        <f>SUM(I12:I15)</f>
        <v>20699364</v>
      </c>
      <c r="J17" s="26"/>
      <c r="K17" s="25">
        <f>SUM(K12:K15)</f>
        <v>21309155</v>
      </c>
    </row>
    <row r="18" spans="1:9" ht="13.5">
      <c r="A18" s="5"/>
      <c r="B18" s="5"/>
      <c r="C18" s="14"/>
      <c r="E18" s="14"/>
      <c r="I18" s="2"/>
    </row>
    <row r="19" spans="1:13" ht="13.5">
      <c r="A19" s="85" t="s">
        <v>33</v>
      </c>
      <c r="B19" s="86"/>
      <c r="C19" s="14">
        <v>4544509</v>
      </c>
      <c r="E19" s="14">
        <v>4947521</v>
      </c>
      <c r="I19" s="2"/>
      <c r="M19" s="20">
        <f>+E19-C19</f>
        <v>403012</v>
      </c>
    </row>
    <row r="20" spans="1:13" ht="13.5">
      <c r="A20" s="85" t="s">
        <v>116</v>
      </c>
      <c r="B20" s="86"/>
      <c r="C20" s="27">
        <f>288140+3105787</f>
        <v>3393927</v>
      </c>
      <c r="D20" s="11"/>
      <c r="E20" s="14">
        <v>2462024</v>
      </c>
      <c r="G20" s="91" t="s">
        <v>104</v>
      </c>
      <c r="H20" s="28"/>
      <c r="I20" s="29">
        <v>27450180</v>
      </c>
      <c r="J20" s="29"/>
      <c r="K20" s="29"/>
      <c r="M20" s="20">
        <f>+E20-C20</f>
        <v>-931903</v>
      </c>
    </row>
    <row r="21" spans="2:14" ht="13.5">
      <c r="B21" s="25"/>
      <c r="C21" s="30"/>
      <c r="E21" s="30"/>
      <c r="G21" s="85" t="s">
        <v>47</v>
      </c>
      <c r="I21" s="16">
        <v>12911855</v>
      </c>
      <c r="J21" s="16"/>
      <c r="K21" s="16">
        <v>13711457</v>
      </c>
      <c r="N21" s="3">
        <f>+I21-K21</f>
        <v>-799602</v>
      </c>
    </row>
    <row r="22" spans="1:11" ht="13.5">
      <c r="A22" s="85" t="s">
        <v>34</v>
      </c>
      <c r="B22" s="14"/>
      <c r="C22" s="32">
        <f>+C12+C17+C19+C20+C18+C13</f>
        <v>166919243</v>
      </c>
      <c r="E22" s="16">
        <f>+E12+E17+E19+E20+E18+E13</f>
        <v>132919705</v>
      </c>
      <c r="I22" s="23"/>
      <c r="K22" s="23"/>
    </row>
    <row r="23" spans="1:11" ht="13.5">
      <c r="A23" s="5"/>
      <c r="B23" s="14"/>
      <c r="C23" s="16"/>
      <c r="E23" s="16"/>
      <c r="G23" s="90" t="s">
        <v>48</v>
      </c>
      <c r="I23" s="25">
        <f>+I17+I20+I21</f>
        <v>61061399</v>
      </c>
      <c r="K23" s="25">
        <f>+K17+K20+K21</f>
        <v>35020612</v>
      </c>
    </row>
    <row r="24" spans="1:13" ht="13.5">
      <c r="A24" s="85" t="s">
        <v>35</v>
      </c>
      <c r="B24" s="18"/>
      <c r="C24" s="16">
        <v>53974424</v>
      </c>
      <c r="D24" s="33"/>
      <c r="E24" s="16">
        <f>37796371</f>
        <v>37796371</v>
      </c>
      <c r="M24" s="20">
        <f>+E24-C24</f>
        <v>-16178053</v>
      </c>
    </row>
    <row r="25" spans="3:5" ht="13.5">
      <c r="C25" s="16"/>
      <c r="E25" s="16"/>
    </row>
    <row r="26" spans="1:13" ht="13.5">
      <c r="A26" s="85" t="s">
        <v>36</v>
      </c>
      <c r="B26" s="87"/>
      <c r="C26" s="16">
        <v>2390245</v>
      </c>
      <c r="D26" s="3"/>
      <c r="E26" s="16">
        <f>2386577</f>
        <v>2386577</v>
      </c>
      <c r="M26" s="20">
        <f>+E26-C26</f>
        <v>-3668</v>
      </c>
    </row>
    <row r="27" spans="1:11" ht="15.75">
      <c r="A27" s="5" t="s">
        <v>96</v>
      </c>
      <c r="B27" s="34"/>
      <c r="C27" s="16"/>
      <c r="D27" s="3"/>
      <c r="E27" s="16"/>
      <c r="G27" s="92" t="s">
        <v>49</v>
      </c>
      <c r="I27" s="35"/>
      <c r="J27" s="26"/>
      <c r="K27" s="35"/>
    </row>
    <row r="28" spans="3:11" ht="13.5">
      <c r="C28" s="16"/>
      <c r="E28" s="16"/>
      <c r="G28" s="5"/>
      <c r="I28" s="14"/>
      <c r="J28" s="26"/>
      <c r="K28" s="14"/>
    </row>
    <row r="29" spans="1:13" ht="13.5">
      <c r="A29" s="85" t="s">
        <v>37</v>
      </c>
      <c r="B29" s="11"/>
      <c r="C29" s="36"/>
      <c r="E29" s="16"/>
      <c r="I29" s="14"/>
      <c r="K29" s="14"/>
      <c r="M29" s="20" t="e">
        <f>+#REF!-#REF!</f>
        <v>#REF!</v>
      </c>
    </row>
    <row r="30" spans="1:13" ht="13.5">
      <c r="A30" s="5" t="s">
        <v>97</v>
      </c>
      <c r="B30" s="11"/>
      <c r="C30" s="97">
        <f>664960113+141187611</f>
        <v>806147724</v>
      </c>
      <c r="E30" s="14">
        <v>664960113</v>
      </c>
      <c r="G30" s="5" t="s">
        <v>50</v>
      </c>
      <c r="I30" s="27">
        <f>+'[1]Edo actividades'!J48</f>
        <v>294186691.86</v>
      </c>
      <c r="J30" s="26"/>
      <c r="K30" s="14">
        <v>259921883</v>
      </c>
      <c r="M30" s="20"/>
    </row>
    <row r="31" spans="1:11" ht="13.5">
      <c r="A31" s="85" t="s">
        <v>38</v>
      </c>
      <c r="B31" s="11"/>
      <c r="C31" s="27">
        <v>302444866</v>
      </c>
      <c r="E31" s="14">
        <v>287208815</v>
      </c>
      <c r="G31" s="5" t="s">
        <v>51</v>
      </c>
      <c r="I31" s="27">
        <f>+SUM('[1]Edo actividades'!M48:S48)</f>
        <v>96398276</v>
      </c>
      <c r="J31" s="37"/>
      <c r="K31" s="14">
        <v>87581386</v>
      </c>
    </row>
    <row r="32" spans="1:14" ht="13.5">
      <c r="A32" s="85" t="s">
        <v>39</v>
      </c>
      <c r="B32" s="86"/>
      <c r="C32" s="27">
        <v>234688522</v>
      </c>
      <c r="E32" s="14">
        <v>210641010</v>
      </c>
      <c r="G32" s="5" t="s">
        <v>114</v>
      </c>
      <c r="H32" s="11"/>
      <c r="I32" s="97">
        <f>973731046+141187611</f>
        <v>1114918657</v>
      </c>
      <c r="J32" s="37"/>
      <c r="K32" s="14">
        <v>953388710</v>
      </c>
      <c r="N32" s="3">
        <f>+I32-K32</f>
        <v>161529947</v>
      </c>
    </row>
    <row r="33" spans="1:11" ht="13.5">
      <c r="A33" s="85" t="s">
        <v>40</v>
      </c>
      <c r="B33" s="88"/>
      <c r="C33" s="21"/>
      <c r="E33" s="21"/>
      <c r="G33" s="5"/>
      <c r="I33" s="21"/>
      <c r="J33" s="26"/>
      <c r="K33" s="21"/>
    </row>
    <row r="34" spans="1:11" ht="13.5">
      <c r="A34" s="85"/>
      <c r="B34" s="14"/>
      <c r="C34" s="38">
        <f>SUM(C32+C31+C30)</f>
        <v>1343281112</v>
      </c>
      <c r="E34" s="38">
        <f>SUM(E32+E31+E30)</f>
        <v>1162809938</v>
      </c>
      <c r="G34" s="1" t="s">
        <v>52</v>
      </c>
      <c r="I34" s="97">
        <f>+SUM(I30:I33)</f>
        <v>1505503624.8600001</v>
      </c>
      <c r="J34" s="26"/>
      <c r="K34" s="14">
        <f>+SUM(K30:K33)</f>
        <v>1300891979</v>
      </c>
    </row>
    <row r="36" spans="2:13" ht="13.5">
      <c r="B36" s="14"/>
      <c r="C36" s="23"/>
      <c r="E36" s="23"/>
      <c r="M36" s="20">
        <f>+E34-C34</f>
        <v>-180471174</v>
      </c>
    </row>
    <row r="37" spans="1:11" ht="16.5" thickBot="1">
      <c r="A37" s="39" t="s">
        <v>41</v>
      </c>
      <c r="B37" s="11"/>
      <c r="C37" s="40">
        <f>+C22+C24+C34+C26</f>
        <v>1566565024</v>
      </c>
      <c r="D37" s="5"/>
      <c r="E37" s="40">
        <f>+E22+E24+E34+E26</f>
        <v>1335912591</v>
      </c>
      <c r="G37" s="41" t="s">
        <v>53</v>
      </c>
      <c r="H37" s="5"/>
      <c r="I37" s="98">
        <f>+I17+I20+I21+I34</f>
        <v>1566565023.8600001</v>
      </c>
      <c r="J37" s="42"/>
      <c r="K37" s="40">
        <f>+K17+K20+K21+K34</f>
        <v>1335912591</v>
      </c>
    </row>
    <row r="38" ht="15" thickTop="1"/>
    <row r="39" spans="1:11" ht="13.5">
      <c r="A39" s="174" t="s">
        <v>7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</row>
    <row r="40" spans="1:11" ht="13.5">
      <c r="A40" s="44"/>
      <c r="B40" s="94"/>
      <c r="C40" s="94"/>
      <c r="D40" s="94"/>
      <c r="E40" s="94"/>
      <c r="F40" s="44"/>
      <c r="G40" s="44"/>
      <c r="H40" s="44"/>
      <c r="I40" s="44"/>
      <c r="J40" s="44"/>
      <c r="K40" s="44"/>
    </row>
    <row r="41" spans="1:11" ht="13.5">
      <c r="A41" s="175" t="s">
        <v>98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3.5">
      <c r="A42" s="45"/>
      <c r="B42" s="95"/>
      <c r="C42" s="95"/>
      <c r="D42" s="95"/>
      <c r="E42" s="95"/>
      <c r="F42" s="9"/>
      <c r="G42" s="45"/>
      <c r="H42" s="45"/>
      <c r="I42" s="45"/>
      <c r="J42" s="45"/>
      <c r="K42" s="45"/>
    </row>
    <row r="43" spans="1:11" ht="13.5">
      <c r="A43" s="170" t="s">
        <v>118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</row>
    <row r="44" ht="13.5">
      <c r="F44" s="3"/>
    </row>
    <row r="45" ht="13.5">
      <c r="F45" s="3"/>
    </row>
    <row r="46" spans="1:7" ht="13.5">
      <c r="A46" s="99" t="s">
        <v>110</v>
      </c>
      <c r="F46" s="4"/>
      <c r="G46" s="99" t="s">
        <v>112</v>
      </c>
    </row>
    <row r="47" spans="1:7" ht="13.5">
      <c r="A47" s="167" t="s">
        <v>135</v>
      </c>
      <c r="G47" s="99" t="s">
        <v>113</v>
      </c>
    </row>
    <row r="48" spans="1:7" ht="13.5">
      <c r="A48" s="99" t="s">
        <v>111</v>
      </c>
      <c r="G48" s="99" t="s">
        <v>111</v>
      </c>
    </row>
  </sheetData>
  <sheetProtection/>
  <mergeCells count="6">
    <mergeCell ref="A43:K43"/>
    <mergeCell ref="A1:K1"/>
    <mergeCell ref="A2:N2"/>
    <mergeCell ref="A3:M3"/>
    <mergeCell ref="A39:K39"/>
    <mergeCell ref="A41:K41"/>
  </mergeCells>
  <printOptions horizontalCentered="1"/>
  <pageMargins left="0.9055118110236221" right="0.63" top="0.7086614173228347" bottom="0.6" header="0.31496062992125984" footer="0.31496062992125984"/>
  <pageSetup fitToHeight="1" fitToWidth="1" horizontalDpi="600" verticalDpi="600" orientation="landscape" paperSize="5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tabSelected="1" workbookViewId="0" topLeftCell="A1">
      <selection activeCell="A24" sqref="A24"/>
    </sheetView>
  </sheetViews>
  <sheetFormatPr defaultColWidth="8.8515625" defaultRowHeight="15"/>
  <cols>
    <col min="1" max="1" width="62.140625" style="1" customWidth="1"/>
    <col min="2" max="2" width="4.28125" style="1" customWidth="1"/>
    <col min="3" max="3" width="14.7109375" style="1" hidden="1" customWidth="1"/>
    <col min="4" max="4" width="20.421875" style="1" hidden="1" customWidth="1"/>
    <col min="5" max="5" width="14.28125" style="1" hidden="1" customWidth="1"/>
    <col min="6" max="8" width="12.8515625" style="1" hidden="1" customWidth="1"/>
    <col min="9" max="9" width="3.140625" style="1" hidden="1" customWidth="1"/>
    <col min="10" max="10" width="15.140625" style="1" bestFit="1" customWidth="1"/>
    <col min="11" max="11" width="2.140625" style="1" customWidth="1"/>
    <col min="12" max="12" width="3.140625" style="1" customWidth="1"/>
    <col min="13" max="13" width="14.00390625" style="1" customWidth="1"/>
    <col min="14" max="14" width="2.00390625" style="1" customWidth="1"/>
    <col min="15" max="15" width="14.140625" style="1" customWidth="1"/>
    <col min="16" max="16" width="2.140625" style="1" customWidth="1"/>
    <col min="17" max="17" width="14.140625" style="1" customWidth="1"/>
    <col min="18" max="18" width="2.00390625" style="1" customWidth="1"/>
    <col min="19" max="19" width="14.140625" style="1" customWidth="1"/>
    <col min="20" max="20" width="2.00390625" style="1" customWidth="1"/>
    <col min="21" max="21" width="16.421875" style="1" customWidth="1"/>
    <col min="22" max="22" width="2.00390625" style="1" customWidth="1"/>
    <col min="23" max="23" width="16.140625" style="1" bestFit="1" customWidth="1"/>
    <col min="24" max="24" width="2.00390625" style="1" customWidth="1"/>
    <col min="25" max="25" width="10.7109375" style="3" customWidth="1"/>
    <col min="26" max="16384" width="8.8515625" style="1" customWidth="1"/>
  </cols>
  <sheetData>
    <row r="1" spans="1:23" ht="15">
      <c r="A1" s="178" t="s">
        <v>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ht="15">
      <c r="A2" s="177" t="s">
        <v>115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3" ht="15">
      <c r="A3" s="178" t="s">
        <v>54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1:24" ht="15">
      <c r="A4" s="173" t="s">
        <v>102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1"/>
    </row>
    <row r="5" spans="1:23" ht="13.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ht="13.5">
      <c r="A6" s="100"/>
      <c r="B6" s="100"/>
      <c r="C6" s="180" t="s">
        <v>56</v>
      </c>
      <c r="D6" s="180"/>
      <c r="E6" s="180"/>
      <c r="F6" s="180"/>
      <c r="G6" s="101"/>
      <c r="H6" s="101"/>
      <c r="I6" s="100"/>
      <c r="J6" s="102" t="s">
        <v>62</v>
      </c>
      <c r="K6" s="103"/>
      <c r="L6" s="181"/>
      <c r="M6" s="181"/>
      <c r="N6" s="181"/>
      <c r="O6" s="181"/>
      <c r="P6" s="181"/>
      <c r="Q6" s="181"/>
      <c r="R6" s="181"/>
      <c r="S6" s="181"/>
      <c r="T6" s="103"/>
      <c r="U6" s="180" t="s">
        <v>2</v>
      </c>
      <c r="V6" s="100"/>
      <c r="W6" s="182" t="s">
        <v>3</v>
      </c>
    </row>
    <row r="7" spans="1:23" ht="13.5">
      <c r="A7" s="100"/>
      <c r="B7" s="104"/>
      <c r="C7" s="105" t="s">
        <v>55</v>
      </c>
      <c r="D7" s="105"/>
      <c r="E7" s="105"/>
      <c r="F7" s="105"/>
      <c r="G7" s="105"/>
      <c r="H7" s="105"/>
      <c r="I7" s="100"/>
      <c r="J7" s="106" t="s">
        <v>63</v>
      </c>
      <c r="K7" s="107"/>
      <c r="L7" s="183" t="s">
        <v>64</v>
      </c>
      <c r="M7" s="183"/>
      <c r="N7" s="183"/>
      <c r="O7" s="183"/>
      <c r="P7" s="183"/>
      <c r="Q7" s="183"/>
      <c r="R7" s="183"/>
      <c r="S7" s="183"/>
      <c r="T7" s="107"/>
      <c r="U7" s="180"/>
      <c r="V7" s="100"/>
      <c r="W7" s="182"/>
    </row>
    <row r="8" spans="1:23" ht="12" customHeight="1">
      <c r="A8" s="100"/>
      <c r="B8" s="100"/>
      <c r="C8" s="100"/>
      <c r="D8" s="100"/>
      <c r="E8" s="100"/>
      <c r="F8" s="100"/>
      <c r="G8" s="100"/>
      <c r="H8" s="100"/>
      <c r="I8" s="108"/>
      <c r="J8" s="100"/>
      <c r="K8" s="100"/>
      <c r="L8" s="108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1:23" ht="12" customHeight="1" hidden="1">
      <c r="A9" s="100"/>
      <c r="B9" s="46" t="s">
        <v>9</v>
      </c>
      <c r="C9" s="46">
        <v>1</v>
      </c>
      <c r="D9" s="46">
        <v>2</v>
      </c>
      <c r="E9" s="46">
        <v>5</v>
      </c>
      <c r="F9" s="46">
        <v>6</v>
      </c>
      <c r="G9" s="46"/>
      <c r="H9" s="46"/>
      <c r="I9" s="47"/>
      <c r="J9" s="46" t="s">
        <v>10</v>
      </c>
      <c r="K9" s="48"/>
      <c r="L9" s="47"/>
      <c r="M9" s="46">
        <v>3</v>
      </c>
      <c r="N9" s="48"/>
      <c r="O9" s="46">
        <v>4</v>
      </c>
      <c r="P9" s="48"/>
      <c r="Q9" s="46">
        <v>11</v>
      </c>
      <c r="R9" s="48"/>
      <c r="S9" s="46">
        <v>10</v>
      </c>
      <c r="T9" s="100"/>
      <c r="U9" s="100"/>
      <c r="V9" s="100"/>
      <c r="W9" s="100"/>
    </row>
    <row r="10" spans="1:23" ht="13.5">
      <c r="A10" s="100"/>
      <c r="B10" s="100"/>
      <c r="C10" s="2" t="s">
        <v>57</v>
      </c>
      <c r="D10" s="2" t="s">
        <v>99</v>
      </c>
      <c r="E10" s="2" t="s">
        <v>58</v>
      </c>
      <c r="F10" s="2" t="s">
        <v>59</v>
      </c>
      <c r="G10" s="109" t="s">
        <v>59</v>
      </c>
      <c r="H10" s="2" t="s">
        <v>61</v>
      </c>
      <c r="I10" s="108"/>
      <c r="J10" s="100"/>
      <c r="K10" s="100"/>
      <c r="L10" s="108"/>
      <c r="M10" s="110" t="s">
        <v>65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</row>
    <row r="11" spans="1:23" ht="13.5">
      <c r="A11" s="100"/>
      <c r="B11" s="100"/>
      <c r="C11" s="49" t="s">
        <v>11</v>
      </c>
      <c r="D11" s="49" t="s">
        <v>12</v>
      </c>
      <c r="E11" s="49" t="s">
        <v>13</v>
      </c>
      <c r="F11" s="49" t="s">
        <v>14</v>
      </c>
      <c r="G11" s="111" t="s">
        <v>60</v>
      </c>
      <c r="H11" s="49" t="s">
        <v>15</v>
      </c>
      <c r="I11" s="112"/>
      <c r="J11" s="111" t="s">
        <v>57</v>
      </c>
      <c r="K11" s="112"/>
      <c r="L11" s="112"/>
      <c r="M11" s="113" t="s">
        <v>66</v>
      </c>
      <c r="N11" s="100"/>
      <c r="O11" s="113" t="s">
        <v>67</v>
      </c>
      <c r="P11" s="100"/>
      <c r="Q11" s="113" t="s">
        <v>100</v>
      </c>
      <c r="R11" s="100"/>
      <c r="S11" s="111" t="s">
        <v>125</v>
      </c>
      <c r="T11" s="100"/>
      <c r="U11" s="111" t="s">
        <v>16</v>
      </c>
      <c r="V11" s="100"/>
      <c r="W11" s="111" t="s">
        <v>16</v>
      </c>
    </row>
    <row r="12" spans="1:23" ht="13.5">
      <c r="A12" s="100"/>
      <c r="B12" s="100"/>
      <c r="C12" s="114"/>
      <c r="D12" s="114"/>
      <c r="E12" s="114"/>
      <c r="F12" s="114"/>
      <c r="G12" s="114"/>
      <c r="H12" s="114"/>
      <c r="I12" s="115"/>
      <c r="J12" s="114"/>
      <c r="K12" s="114"/>
      <c r="L12" s="115"/>
      <c r="M12" s="114"/>
      <c r="N12" s="100"/>
      <c r="O12" s="114"/>
      <c r="P12" s="100"/>
      <c r="Q12" s="114"/>
      <c r="R12" s="100"/>
      <c r="S12" s="114"/>
      <c r="T12" s="100"/>
      <c r="U12" s="114"/>
      <c r="V12" s="100"/>
      <c r="W12" s="116"/>
    </row>
    <row r="13" spans="1:23" ht="13.5">
      <c r="A13" s="117" t="s">
        <v>68</v>
      </c>
      <c r="B13" s="100"/>
      <c r="C13" s="100"/>
      <c r="D13" s="100"/>
      <c r="E13" s="100"/>
      <c r="F13" s="100"/>
      <c r="G13" s="100"/>
      <c r="H13" s="100"/>
      <c r="I13" s="108"/>
      <c r="J13" s="100"/>
      <c r="K13" s="100"/>
      <c r="L13" s="108"/>
      <c r="M13" s="50"/>
      <c r="N13" s="100"/>
      <c r="O13" s="100"/>
      <c r="P13" s="100"/>
      <c r="Q13" s="100"/>
      <c r="R13" s="100"/>
      <c r="S13" s="100"/>
      <c r="T13" s="100"/>
      <c r="U13" s="100"/>
      <c r="V13" s="100"/>
      <c r="W13" s="100"/>
    </row>
    <row r="14" spans="1:23" ht="13.5">
      <c r="A14" s="100"/>
      <c r="B14" s="100"/>
      <c r="C14" s="100"/>
      <c r="D14" s="100"/>
      <c r="E14" s="100"/>
      <c r="F14" s="100"/>
      <c r="G14" s="100"/>
      <c r="H14" s="100"/>
      <c r="I14" s="108"/>
      <c r="J14" s="100"/>
      <c r="K14" s="100"/>
      <c r="L14" s="108"/>
      <c r="M14" s="118" t="s">
        <v>6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23" ht="13.5">
      <c r="A15" s="93" t="s">
        <v>69</v>
      </c>
      <c r="B15" s="100"/>
      <c r="C15" s="13">
        <f>404232632+1</f>
        <v>404232633</v>
      </c>
      <c r="D15" s="51"/>
      <c r="E15" s="13"/>
      <c r="F15" s="13"/>
      <c r="G15" s="13"/>
      <c r="H15" s="13"/>
      <c r="I15" s="52"/>
      <c r="J15" s="13">
        <f>SUM(C15:I15)</f>
        <v>404232633</v>
      </c>
      <c r="K15" s="13"/>
      <c r="L15" s="52"/>
      <c r="M15" s="51"/>
      <c r="N15" s="100"/>
      <c r="O15" s="13"/>
      <c r="P15" s="100"/>
      <c r="Q15" s="13"/>
      <c r="R15" s="100"/>
      <c r="S15" s="13"/>
      <c r="T15" s="100"/>
      <c r="U15" s="119">
        <f>SUM(J15:T15)</f>
        <v>404232633</v>
      </c>
      <c r="V15" s="100"/>
      <c r="W15" s="13">
        <v>375518858</v>
      </c>
    </row>
    <row r="16" spans="1:24" ht="13.5">
      <c r="A16" s="118" t="s">
        <v>70</v>
      </c>
      <c r="B16" s="100"/>
      <c r="C16" s="32">
        <f>3332381</f>
        <v>3332381</v>
      </c>
      <c r="D16" s="120"/>
      <c r="E16" s="120"/>
      <c r="F16" s="120"/>
      <c r="G16" s="120">
        <v>148490</v>
      </c>
      <c r="H16" s="120"/>
      <c r="I16" s="120"/>
      <c r="J16" s="120">
        <f>SUM(C16:I16)</f>
        <v>3480871</v>
      </c>
      <c r="K16" s="120"/>
      <c r="L16" s="120"/>
      <c r="M16" s="120">
        <v>4805946</v>
      </c>
      <c r="N16" s="120"/>
      <c r="O16" s="120">
        <v>192700</v>
      </c>
      <c r="P16" s="120"/>
      <c r="Q16" s="120">
        <f>88350+1</f>
        <v>88351</v>
      </c>
      <c r="R16" s="120"/>
      <c r="S16" s="120">
        <v>559749</v>
      </c>
      <c r="T16" s="120"/>
      <c r="U16" s="120">
        <f>SUM(J16:T16)</f>
        <v>9127617</v>
      </c>
      <c r="V16" s="120"/>
      <c r="W16" s="120">
        <v>9045020</v>
      </c>
      <c r="X16" s="16"/>
    </row>
    <row r="17" spans="1:24" ht="13.5">
      <c r="A17" s="93" t="s">
        <v>105</v>
      </c>
      <c r="B17" s="100"/>
      <c r="C17" s="120">
        <f>20282529-1</f>
        <v>20282528</v>
      </c>
      <c r="D17" s="120"/>
      <c r="E17" s="120"/>
      <c r="F17" s="120"/>
      <c r="G17" s="120">
        <v>1797822</v>
      </c>
      <c r="H17" s="120"/>
      <c r="I17" s="120"/>
      <c r="J17" s="120">
        <f>SUM(C17:I17)</f>
        <v>22080350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>
        <f>SUM(J17:T17)</f>
        <v>22080350</v>
      </c>
      <c r="V17" s="120"/>
      <c r="W17" s="120">
        <v>15138201</v>
      </c>
      <c r="X17" s="16"/>
    </row>
    <row r="18" spans="1:23" ht="13.5">
      <c r="A18" s="118"/>
      <c r="B18" s="100"/>
      <c r="C18" s="100"/>
      <c r="D18" s="100"/>
      <c r="E18" s="100"/>
      <c r="F18" s="100"/>
      <c r="G18" s="100"/>
      <c r="H18" s="100"/>
      <c r="I18" s="108"/>
      <c r="J18" s="100"/>
      <c r="K18" s="121"/>
      <c r="L18" s="108"/>
      <c r="M18" s="3"/>
      <c r="N18" s="100"/>
      <c r="O18" s="100"/>
      <c r="P18" s="100"/>
      <c r="Q18" s="100"/>
      <c r="R18" s="100"/>
      <c r="S18" s="100"/>
      <c r="T18" s="118"/>
      <c r="U18" s="121"/>
      <c r="V18" s="100"/>
      <c r="W18" s="24"/>
    </row>
    <row r="19" spans="1:24" ht="13.5">
      <c r="A19" s="118" t="s">
        <v>71</v>
      </c>
      <c r="B19" s="100"/>
      <c r="C19" s="120"/>
      <c r="D19" s="120"/>
      <c r="E19" s="120">
        <v>24006539</v>
      </c>
      <c r="F19" s="120">
        <v>6061640</v>
      </c>
      <c r="G19" s="120"/>
      <c r="H19" s="120"/>
      <c r="I19" s="120"/>
      <c r="J19" s="120">
        <f>SUM(C19:I19)</f>
        <v>30068179</v>
      </c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>
        <f>SUM(J19:T19)</f>
        <v>30068179</v>
      </c>
      <c r="V19" s="120"/>
      <c r="W19" s="120">
        <v>26381178</v>
      </c>
      <c r="X19" s="16"/>
    </row>
    <row r="20" spans="1:24" ht="13.5">
      <c r="A20" s="31" t="s">
        <v>72</v>
      </c>
      <c r="B20" s="100"/>
      <c r="C20" s="120">
        <f>9679339+1</f>
        <v>9679340</v>
      </c>
      <c r="D20" s="120">
        <v>201809</v>
      </c>
      <c r="E20" s="120">
        <v>11300</v>
      </c>
      <c r="F20" s="120">
        <v>118548</v>
      </c>
      <c r="G20" s="120">
        <v>18896569</v>
      </c>
      <c r="H20" s="120">
        <v>9000000</v>
      </c>
      <c r="I20" s="120"/>
      <c r="J20" s="120">
        <f>SUM(C20:I20)</f>
        <v>37907566</v>
      </c>
      <c r="K20" s="120"/>
      <c r="L20" s="120"/>
      <c r="M20" s="120">
        <v>1954767</v>
      </c>
      <c r="N20" s="120"/>
      <c r="O20" s="120"/>
      <c r="P20" s="120"/>
      <c r="Q20" s="120">
        <v>16352079</v>
      </c>
      <c r="R20" s="120"/>
      <c r="S20" s="120">
        <f>44881252+1</f>
        <v>44881253</v>
      </c>
      <c r="T20" s="120"/>
      <c r="U20" s="120">
        <f>SUM(J20:T20)</f>
        <v>101095665</v>
      </c>
      <c r="V20" s="120"/>
      <c r="W20" s="120">
        <v>70907934</v>
      </c>
      <c r="X20" s="16"/>
    </row>
    <row r="21" spans="1:23" ht="13.5">
      <c r="A21" s="118"/>
      <c r="B21" s="100"/>
      <c r="C21" s="21"/>
      <c r="D21" s="53"/>
      <c r="E21" s="21"/>
      <c r="F21" s="21"/>
      <c r="G21" s="21"/>
      <c r="H21" s="21"/>
      <c r="I21" s="14"/>
      <c r="J21" s="21"/>
      <c r="K21" s="14"/>
      <c r="L21" s="14"/>
      <c r="M21" s="53"/>
      <c r="N21" s="100"/>
      <c r="O21" s="54"/>
      <c r="P21" s="100"/>
      <c r="Q21" s="53"/>
      <c r="R21" s="100"/>
      <c r="S21" s="21"/>
      <c r="T21" s="26"/>
      <c r="U21" s="21"/>
      <c r="V21" s="100"/>
      <c r="W21" s="21"/>
    </row>
    <row r="22" spans="1:23" ht="13.5">
      <c r="A22" s="100"/>
      <c r="B22" s="55"/>
      <c r="C22" s="56">
        <f aca="true" t="shared" si="0" ref="C22:H22">SUM(C15:C21)</f>
        <v>437526882</v>
      </c>
      <c r="D22" s="56">
        <f t="shared" si="0"/>
        <v>201809</v>
      </c>
      <c r="E22" s="56">
        <f t="shared" si="0"/>
        <v>24017839</v>
      </c>
      <c r="F22" s="56">
        <f t="shared" si="0"/>
        <v>6180188</v>
      </c>
      <c r="G22" s="56">
        <f t="shared" si="0"/>
        <v>20842881</v>
      </c>
      <c r="H22" s="56">
        <f t="shared" si="0"/>
        <v>9000000</v>
      </c>
      <c r="I22" s="57"/>
      <c r="J22" s="56">
        <f>SUM(J15:J21)</f>
        <v>497769599</v>
      </c>
      <c r="K22" s="56"/>
      <c r="L22" s="57"/>
      <c r="M22" s="56">
        <f>SUM(M15:M21)</f>
        <v>6760713</v>
      </c>
      <c r="N22" s="55"/>
      <c r="O22" s="56">
        <f>SUM(O15:O21)</f>
        <v>192700</v>
      </c>
      <c r="P22" s="55"/>
      <c r="Q22" s="56">
        <f>SUM(Q15:Q21)</f>
        <v>16440430</v>
      </c>
      <c r="R22" s="55"/>
      <c r="S22" s="56">
        <f>SUM(S15:S21)</f>
        <v>45441002</v>
      </c>
      <c r="T22" s="58"/>
      <c r="U22" s="56">
        <f>SUM(U15:U21)</f>
        <v>566604444</v>
      </c>
      <c r="V22" s="56">
        <f>SUM(V15:V21)</f>
        <v>0</v>
      </c>
      <c r="W22" s="56">
        <f>SUM(W15:W21)</f>
        <v>496991191</v>
      </c>
    </row>
    <row r="23" spans="1:23" ht="13.5">
      <c r="A23" s="100"/>
      <c r="B23" s="100"/>
      <c r="C23" s="38"/>
      <c r="D23" s="38"/>
      <c r="E23" s="38"/>
      <c r="F23" s="38"/>
      <c r="G23" s="38"/>
      <c r="H23" s="38"/>
      <c r="I23" s="14"/>
      <c r="J23" s="38"/>
      <c r="K23" s="38"/>
      <c r="L23" s="14"/>
      <c r="M23" s="38"/>
      <c r="N23" s="100"/>
      <c r="O23" s="38"/>
      <c r="P23" s="100"/>
      <c r="Q23" s="38"/>
      <c r="R23" s="100"/>
      <c r="S23" s="38"/>
      <c r="T23" s="26"/>
      <c r="U23" s="38"/>
      <c r="V23" s="100"/>
      <c r="W23" s="38"/>
    </row>
    <row r="24" spans="1:23" ht="13.5">
      <c r="A24" s="117" t="s">
        <v>73</v>
      </c>
      <c r="B24" s="100"/>
      <c r="C24" s="38"/>
      <c r="D24" s="38"/>
      <c r="E24" s="38"/>
      <c r="F24" s="38"/>
      <c r="G24" s="38"/>
      <c r="H24" s="38"/>
      <c r="I24" s="14"/>
      <c r="J24" s="38"/>
      <c r="K24" s="38"/>
      <c r="L24" s="14"/>
      <c r="M24" s="38"/>
      <c r="N24" s="100"/>
      <c r="O24" s="38"/>
      <c r="P24" s="100"/>
      <c r="Q24" s="38"/>
      <c r="R24" s="100"/>
      <c r="S24" s="38"/>
      <c r="T24" s="26"/>
      <c r="U24" s="38"/>
      <c r="V24" s="100"/>
      <c r="W24" s="38"/>
    </row>
    <row r="25" spans="3:25" s="2" customFormat="1" ht="12">
      <c r="C25" s="26"/>
      <c r="D25" s="42" t="s">
        <v>6</v>
      </c>
      <c r="E25" s="26"/>
      <c r="F25" s="26"/>
      <c r="G25" s="26"/>
      <c r="H25" s="26"/>
      <c r="I25" s="37"/>
      <c r="J25" s="26"/>
      <c r="K25" s="26"/>
      <c r="L25" s="37"/>
      <c r="M25" s="26"/>
      <c r="O25" s="26"/>
      <c r="Q25" s="26"/>
      <c r="S25" s="26"/>
      <c r="T25" s="26"/>
      <c r="U25" s="42"/>
      <c r="W25" s="26"/>
      <c r="Y25" s="3"/>
    </row>
    <row r="26" spans="1:25" s="2" customFormat="1" ht="12">
      <c r="A26" s="2" t="s">
        <v>74</v>
      </c>
      <c r="C26" s="26"/>
      <c r="D26" s="42"/>
      <c r="E26" s="26"/>
      <c r="F26" s="26"/>
      <c r="G26" s="26"/>
      <c r="H26" s="26"/>
      <c r="I26" s="37"/>
      <c r="J26" s="26"/>
      <c r="K26" s="26"/>
      <c r="L26" s="37"/>
      <c r="M26" s="26"/>
      <c r="O26" s="26"/>
      <c r="Q26" s="26"/>
      <c r="S26" s="26"/>
      <c r="T26" s="26"/>
      <c r="U26" s="42"/>
      <c r="W26" s="26"/>
      <c r="Y26" s="3"/>
    </row>
    <row r="27" spans="1:25" s="2" customFormat="1" ht="12">
      <c r="A27" s="93" t="s">
        <v>75</v>
      </c>
      <c r="C27" s="32">
        <v>135932345</v>
      </c>
      <c r="D27" s="32">
        <v>347441</v>
      </c>
      <c r="E27" s="32"/>
      <c r="F27" s="32"/>
      <c r="G27" s="32">
        <v>3704786</v>
      </c>
      <c r="H27" s="32"/>
      <c r="I27" s="32"/>
      <c r="J27" s="32">
        <f>SUM(C27:I27)</f>
        <v>139984572</v>
      </c>
      <c r="K27" s="32"/>
      <c r="L27" s="32"/>
      <c r="M27" s="32">
        <v>63105</v>
      </c>
      <c r="N27" s="32"/>
      <c r="O27" s="32"/>
      <c r="P27" s="32"/>
      <c r="Q27" s="32">
        <f>4497</f>
        <v>4497</v>
      </c>
      <c r="R27" s="32"/>
      <c r="S27" s="32"/>
      <c r="T27" s="32"/>
      <c r="U27" s="32">
        <f>SUM(J27:T27)</f>
        <v>140052174</v>
      </c>
      <c r="V27" s="32"/>
      <c r="W27" s="32">
        <v>112698914</v>
      </c>
      <c r="X27" s="32"/>
      <c r="Y27" s="3"/>
    </row>
    <row r="28" spans="1:25" s="2" customFormat="1" ht="12">
      <c r="A28" s="122" t="s">
        <v>119</v>
      </c>
      <c r="C28" s="32">
        <f>174755237+1</f>
        <v>174755238</v>
      </c>
      <c r="D28" s="32">
        <v>210132</v>
      </c>
      <c r="E28" s="32"/>
      <c r="F28" s="32"/>
      <c r="G28" s="32">
        <v>9713552</v>
      </c>
      <c r="H28" s="32"/>
      <c r="I28" s="32"/>
      <c r="J28" s="32">
        <f>SUM(C28:I28)</f>
        <v>184678922</v>
      </c>
      <c r="K28" s="32"/>
      <c r="L28" s="32"/>
      <c r="M28" s="32">
        <v>5064616</v>
      </c>
      <c r="N28" s="32"/>
      <c r="O28" s="32"/>
      <c r="P28" s="32"/>
      <c r="Q28" s="32">
        <v>2189676</v>
      </c>
      <c r="R28" s="32"/>
      <c r="S28" s="32"/>
      <c r="T28" s="32"/>
      <c r="U28" s="32">
        <f>SUM(J28:T28)</f>
        <v>191933214</v>
      </c>
      <c r="V28" s="32"/>
      <c r="W28" s="32">
        <v>175582583</v>
      </c>
      <c r="X28" s="32"/>
      <c r="Y28" s="3"/>
    </row>
    <row r="29" spans="1:25" s="2" customFormat="1" ht="12">
      <c r="A29" s="118" t="s">
        <v>120</v>
      </c>
      <c r="C29" s="21"/>
      <c r="D29" s="21"/>
      <c r="E29" s="21"/>
      <c r="F29" s="21"/>
      <c r="G29" s="21"/>
      <c r="H29" s="21"/>
      <c r="I29" s="14"/>
      <c r="J29" s="21"/>
      <c r="K29" s="59"/>
      <c r="L29" s="14"/>
      <c r="M29" s="21"/>
      <c r="N29" s="60"/>
      <c r="O29" s="21"/>
      <c r="P29" s="60"/>
      <c r="Q29" s="54"/>
      <c r="R29" s="60"/>
      <c r="S29" s="21"/>
      <c r="T29" s="37"/>
      <c r="U29" s="21"/>
      <c r="V29" s="60"/>
      <c r="W29" s="21"/>
      <c r="Y29" s="3"/>
    </row>
    <row r="30" spans="1:25" s="2" customFormat="1" ht="12">
      <c r="A30" s="31"/>
      <c r="C30" s="14">
        <f aca="true" t="shared" si="1" ref="C30:H30">SUM(C27:C28)</f>
        <v>310687583</v>
      </c>
      <c r="D30" s="14">
        <f t="shared" si="1"/>
        <v>557573</v>
      </c>
      <c r="E30" s="14">
        <f t="shared" si="1"/>
        <v>0</v>
      </c>
      <c r="F30" s="14">
        <f t="shared" si="1"/>
        <v>0</v>
      </c>
      <c r="G30" s="14">
        <f t="shared" si="1"/>
        <v>13418338</v>
      </c>
      <c r="H30" s="14">
        <f t="shared" si="1"/>
        <v>0</v>
      </c>
      <c r="I30" s="14"/>
      <c r="J30" s="14">
        <f>SUM(J27:J28)</f>
        <v>324663494</v>
      </c>
      <c r="K30" s="59"/>
      <c r="L30" s="14"/>
      <c r="M30" s="14">
        <f>SUM(M27:M28)</f>
        <v>5127721</v>
      </c>
      <c r="N30" s="60"/>
      <c r="O30" s="14">
        <f>SUM(O27:O28)</f>
        <v>0</v>
      </c>
      <c r="P30" s="60"/>
      <c r="Q30" s="14">
        <f>SUM(Q27:Q28)</f>
        <v>2194173</v>
      </c>
      <c r="R30" s="60"/>
      <c r="S30" s="14">
        <f>SUM(S27:S28)</f>
        <v>0</v>
      </c>
      <c r="T30" s="37"/>
      <c r="U30" s="14">
        <f>SUM(U27:U28)</f>
        <v>331985388</v>
      </c>
      <c r="V30" s="60"/>
      <c r="W30" s="14">
        <f>SUM(W27:W28)</f>
        <v>288281497</v>
      </c>
      <c r="Y30" s="3"/>
    </row>
    <row r="31" spans="1:25" s="2" customFormat="1" ht="12">
      <c r="A31" s="31"/>
      <c r="C31" s="14"/>
      <c r="D31" s="14"/>
      <c r="E31" s="14"/>
      <c r="F31" s="14"/>
      <c r="G31" s="14"/>
      <c r="H31" s="14"/>
      <c r="I31" s="14"/>
      <c r="J31" s="14"/>
      <c r="K31" s="59"/>
      <c r="L31" s="14"/>
      <c r="M31" s="14"/>
      <c r="N31" s="60"/>
      <c r="O31" s="14"/>
      <c r="P31" s="60"/>
      <c r="Q31" s="59"/>
      <c r="R31" s="60"/>
      <c r="S31" s="14"/>
      <c r="T31" s="37"/>
      <c r="U31" s="14"/>
      <c r="V31" s="60"/>
      <c r="W31" s="14"/>
      <c r="Y31" s="3"/>
    </row>
    <row r="32" spans="1:25" s="2" customFormat="1" ht="12">
      <c r="A32" s="2" t="s">
        <v>76</v>
      </c>
      <c r="C32" s="14"/>
      <c r="D32" s="14"/>
      <c r="E32" s="14"/>
      <c r="F32" s="14"/>
      <c r="G32" s="14"/>
      <c r="H32" s="14"/>
      <c r="I32" s="14"/>
      <c r="J32" s="14"/>
      <c r="K32" s="59"/>
      <c r="L32" s="14"/>
      <c r="M32" s="14"/>
      <c r="N32" s="60"/>
      <c r="O32" s="14"/>
      <c r="P32" s="60"/>
      <c r="Q32" s="59"/>
      <c r="R32" s="60"/>
      <c r="S32" s="14"/>
      <c r="T32" s="37"/>
      <c r="U32" s="14"/>
      <c r="V32" s="60"/>
      <c r="W32" s="14"/>
      <c r="Y32" s="3"/>
    </row>
    <row r="33" spans="1:25" s="2" customFormat="1" ht="12">
      <c r="A33" s="93" t="s">
        <v>75</v>
      </c>
      <c r="C33" s="14">
        <v>63440875</v>
      </c>
      <c r="D33" s="14">
        <v>13439101</v>
      </c>
      <c r="E33" s="14">
        <f>1198358</f>
        <v>1198358</v>
      </c>
      <c r="F33" s="14"/>
      <c r="G33" s="14"/>
      <c r="H33" s="14">
        <v>216052</v>
      </c>
      <c r="I33" s="14"/>
      <c r="J33" s="14">
        <f>SUM(C33:I33)</f>
        <v>78294386</v>
      </c>
      <c r="K33" s="59"/>
      <c r="L33" s="14"/>
      <c r="M33" s="14"/>
      <c r="N33" s="60"/>
      <c r="O33" s="14"/>
      <c r="P33" s="60"/>
      <c r="Q33" s="59"/>
      <c r="R33" s="60"/>
      <c r="S33" s="14">
        <v>7950315</v>
      </c>
      <c r="T33" s="37"/>
      <c r="U33" s="14">
        <f>SUM(J33:T33)</f>
        <v>86244701</v>
      </c>
      <c r="V33" s="60"/>
      <c r="W33" s="14">
        <v>99516243</v>
      </c>
      <c r="Y33" s="3"/>
    </row>
    <row r="34" spans="1:25" s="2" customFormat="1" ht="12">
      <c r="A34" s="31" t="s">
        <v>77</v>
      </c>
      <c r="C34" s="14">
        <v>58281458</v>
      </c>
      <c r="D34" s="14">
        <v>8688428</v>
      </c>
      <c r="E34" s="14"/>
      <c r="F34" s="14"/>
      <c r="G34" s="14"/>
      <c r="H34" s="14">
        <v>7402649</v>
      </c>
      <c r="I34" s="14"/>
      <c r="J34" s="14">
        <f>SUM(C34:I34)</f>
        <v>74372535</v>
      </c>
      <c r="K34" s="59"/>
      <c r="L34" s="14"/>
      <c r="M34" s="14"/>
      <c r="N34" s="60"/>
      <c r="O34" s="14">
        <v>43260</v>
      </c>
      <c r="P34" s="60"/>
      <c r="Q34" s="59"/>
      <c r="R34" s="60"/>
      <c r="S34" s="14">
        <v>25284166</v>
      </c>
      <c r="T34" s="37"/>
      <c r="U34" s="14">
        <f>SUM(J34:T34)</f>
        <v>99699961</v>
      </c>
      <c r="V34" s="60"/>
      <c r="W34" s="14">
        <v>85019075</v>
      </c>
      <c r="Y34" s="3"/>
    </row>
    <row r="35" spans="1:25" s="2" customFormat="1" ht="12">
      <c r="A35" s="2" t="s">
        <v>121</v>
      </c>
      <c r="C35" s="21"/>
      <c r="D35" s="21"/>
      <c r="E35" s="21">
        <f>3405107+1</f>
        <v>3405108</v>
      </c>
      <c r="F35" s="21">
        <v>2120895</v>
      </c>
      <c r="G35" s="21"/>
      <c r="H35" s="21"/>
      <c r="I35" s="14"/>
      <c r="J35" s="21">
        <f>SUM(C35:I35)</f>
        <v>5526003</v>
      </c>
      <c r="K35" s="14"/>
      <c r="L35" s="14"/>
      <c r="M35" s="21"/>
      <c r="O35" s="21"/>
      <c r="Q35" s="21"/>
      <c r="S35" s="21"/>
      <c r="T35" s="26"/>
      <c r="U35" s="21">
        <f>SUM(J35:T35)</f>
        <v>5526003</v>
      </c>
      <c r="W35" s="21">
        <v>7619423</v>
      </c>
      <c r="Y35" s="3"/>
    </row>
    <row r="36" spans="3:25" s="2" customFormat="1" ht="12">
      <c r="C36" s="14">
        <f aca="true" t="shared" si="2" ref="C36:H36">+SUM(C33:C35)</f>
        <v>121722333</v>
      </c>
      <c r="D36" s="14">
        <f t="shared" si="2"/>
        <v>22127529</v>
      </c>
      <c r="E36" s="14">
        <f t="shared" si="2"/>
        <v>4603466</v>
      </c>
      <c r="F36" s="14">
        <f t="shared" si="2"/>
        <v>2120895</v>
      </c>
      <c r="G36" s="14">
        <f t="shared" si="2"/>
        <v>0</v>
      </c>
      <c r="H36" s="14">
        <f t="shared" si="2"/>
        <v>7618701</v>
      </c>
      <c r="I36" s="61"/>
      <c r="J36" s="14">
        <f>+SUM(J33:J35)</f>
        <v>158192924</v>
      </c>
      <c r="K36" s="62"/>
      <c r="L36" s="61"/>
      <c r="M36" s="14">
        <f>+SUM(M33:M35)</f>
        <v>0</v>
      </c>
      <c r="O36" s="14">
        <f>+SUM(O33:O35)</f>
        <v>43260</v>
      </c>
      <c r="Q36" s="14">
        <f>+SUM(Q33:Q35)</f>
        <v>0</v>
      </c>
      <c r="S36" s="14">
        <f>+SUM(S33:S35)</f>
        <v>33234481</v>
      </c>
      <c r="U36" s="14">
        <f>+SUM(U33:U35)</f>
        <v>191470665</v>
      </c>
      <c r="W36" s="14">
        <f>+SUM(W33:W35)</f>
        <v>192154741</v>
      </c>
      <c r="Y36" s="3"/>
    </row>
    <row r="37" spans="3:25" s="2" customFormat="1" ht="12">
      <c r="C37" s="62"/>
      <c r="D37" s="62"/>
      <c r="E37" s="62"/>
      <c r="F37" s="62"/>
      <c r="G37" s="62"/>
      <c r="H37" s="62"/>
      <c r="I37" s="61"/>
      <c r="J37" s="62"/>
      <c r="K37" s="62"/>
      <c r="L37" s="61"/>
      <c r="M37" s="63"/>
      <c r="O37" s="63"/>
      <c r="Q37" s="63"/>
      <c r="S37" s="62"/>
      <c r="U37" s="62"/>
      <c r="W37" s="63"/>
      <c r="Y37" s="3"/>
    </row>
    <row r="38" spans="1:25" s="2" customFormat="1" ht="12">
      <c r="A38" s="2" t="s">
        <v>78</v>
      </c>
      <c r="C38" s="38">
        <f>31194420+628399+1-604414+199</f>
        <v>31218605</v>
      </c>
      <c r="D38" s="38"/>
      <c r="E38" s="38"/>
      <c r="F38" s="38"/>
      <c r="G38" s="38">
        <f>-30879881-1-127859.26-22537.88</f>
        <v>-31030279.14</v>
      </c>
      <c r="H38" s="38"/>
      <c r="I38" s="14"/>
      <c r="J38" s="32">
        <f>SUM(C38:I38)</f>
        <v>188325.8599999994</v>
      </c>
      <c r="K38" s="38"/>
      <c r="L38" s="14"/>
      <c r="M38" s="38"/>
      <c r="O38" s="38"/>
      <c r="Q38" s="38">
        <f>-556770+100000</f>
        <v>-456770</v>
      </c>
      <c r="S38" s="38">
        <v>201752</v>
      </c>
      <c r="T38" s="26"/>
      <c r="U38" s="32">
        <f>SUM(J38:T38)</f>
        <v>-66692.1400000006</v>
      </c>
      <c r="W38" s="38">
        <v>-17361</v>
      </c>
      <c r="Y38" s="3"/>
    </row>
    <row r="39" spans="3:25" s="2" customFormat="1" ht="12">
      <c r="C39" s="38"/>
      <c r="D39" s="38"/>
      <c r="E39" s="38"/>
      <c r="F39" s="38"/>
      <c r="G39" s="38"/>
      <c r="H39" s="38"/>
      <c r="I39" s="14"/>
      <c r="J39" s="38"/>
      <c r="K39" s="38"/>
      <c r="L39" s="14"/>
      <c r="M39" s="38"/>
      <c r="O39" s="38"/>
      <c r="Q39" s="38"/>
      <c r="S39" s="38"/>
      <c r="T39" s="26"/>
      <c r="U39" s="38"/>
      <c r="W39" s="38"/>
      <c r="Y39" s="3"/>
    </row>
    <row r="40" spans="1:25" s="2" customFormat="1" ht="12">
      <c r="A40" s="2" t="s">
        <v>79</v>
      </c>
      <c r="C40" s="32">
        <f>-7089305+D44+E44+F44</f>
        <v>-18332873</v>
      </c>
      <c r="D40" s="32">
        <f>24493270-D44</f>
        <v>28194584</v>
      </c>
      <c r="E40" s="32">
        <f>-14549172-E44</f>
        <v>-8823011</v>
      </c>
      <c r="F40" s="32">
        <f>-273822-F44</f>
        <v>1542271</v>
      </c>
      <c r="G40" s="32">
        <v>15220214</v>
      </c>
      <c r="H40" s="32">
        <v>1362117</v>
      </c>
      <c r="I40" s="32"/>
      <c r="J40" s="32">
        <f>SUM(C40:I40)</f>
        <v>19163302</v>
      </c>
      <c r="K40" s="64"/>
      <c r="L40" s="64"/>
      <c r="M40" s="32">
        <v>0</v>
      </c>
      <c r="N40" s="64"/>
      <c r="O40" s="64">
        <v>0</v>
      </c>
      <c r="P40" s="64"/>
      <c r="Q40" s="32">
        <v>-13145102</v>
      </c>
      <c r="R40" s="32"/>
      <c r="S40" s="32">
        <v>-6018200</v>
      </c>
      <c r="T40" s="64"/>
      <c r="U40" s="32">
        <f>SUM(J40:T40)</f>
        <v>0</v>
      </c>
      <c r="V40" s="64"/>
      <c r="W40" s="64">
        <v>0</v>
      </c>
      <c r="X40" s="32"/>
      <c r="Y40" s="3"/>
    </row>
    <row r="41" spans="3:25" s="2" customFormat="1" ht="12">
      <c r="C41" s="38"/>
      <c r="D41" s="38"/>
      <c r="E41" s="38"/>
      <c r="F41" s="38"/>
      <c r="G41" s="38"/>
      <c r="H41" s="38"/>
      <c r="I41" s="14"/>
      <c r="J41" s="38"/>
      <c r="K41" s="38"/>
      <c r="L41" s="14"/>
      <c r="M41" s="38"/>
      <c r="O41" s="38"/>
      <c r="Q41" s="38"/>
      <c r="S41" s="38"/>
      <c r="T41" s="26"/>
      <c r="U41" s="38"/>
      <c r="W41" s="38"/>
      <c r="Y41" s="3"/>
    </row>
    <row r="42" spans="1:25" s="55" customFormat="1" ht="12">
      <c r="A42" s="65" t="s">
        <v>106</v>
      </c>
      <c r="C42" s="66">
        <f aca="true" t="shared" si="3" ref="C42:H42">+C22+C38+C40-C30-C36</f>
        <v>18002698</v>
      </c>
      <c r="D42" s="66">
        <f t="shared" si="3"/>
        <v>5711291</v>
      </c>
      <c r="E42" s="66">
        <f t="shared" si="3"/>
        <v>10591362</v>
      </c>
      <c r="F42" s="66">
        <f t="shared" si="3"/>
        <v>5601564</v>
      </c>
      <c r="G42" s="66">
        <f t="shared" si="3"/>
        <v>-8385522.140000001</v>
      </c>
      <c r="H42" s="66">
        <f t="shared" si="3"/>
        <v>2743416</v>
      </c>
      <c r="I42" s="66"/>
      <c r="J42" s="66">
        <f>+J22+J38+J40-J30-J36</f>
        <v>34264808.860000014</v>
      </c>
      <c r="K42" s="66"/>
      <c r="L42" s="66"/>
      <c r="M42" s="66">
        <f>+M22+M38+M40-M30-M36</f>
        <v>1632992</v>
      </c>
      <c r="N42" s="67"/>
      <c r="O42" s="66">
        <f>+O22+O38+O40-O30-O36</f>
        <v>149440</v>
      </c>
      <c r="P42" s="67"/>
      <c r="Q42" s="66">
        <f>+Q22+Q38+Q40-Q30-Q36</f>
        <v>644385</v>
      </c>
      <c r="R42" s="67"/>
      <c r="S42" s="66">
        <f>+S22+S38+S40-S30-S36</f>
        <v>6390073</v>
      </c>
      <c r="T42" s="67"/>
      <c r="U42" s="66">
        <f>+U22+U38+U40-U30-U36</f>
        <v>43081698.860000014</v>
      </c>
      <c r="V42" s="67"/>
      <c r="W42" s="66">
        <f>+W22+W38+W40-W30-W36</f>
        <v>16537592</v>
      </c>
      <c r="X42" s="68" t="s">
        <v>17</v>
      </c>
      <c r="Y42" s="69"/>
    </row>
    <row r="43" spans="1:25" s="2" customFormat="1" ht="12">
      <c r="A43" s="65"/>
      <c r="C43" s="12"/>
      <c r="D43" s="12"/>
      <c r="E43" s="12"/>
      <c r="F43" s="12"/>
      <c r="G43" s="12"/>
      <c r="H43" s="12"/>
      <c r="I43" s="70"/>
      <c r="J43" s="12"/>
      <c r="K43" s="70"/>
      <c r="L43" s="70"/>
      <c r="M43" s="12"/>
      <c r="N43" s="71"/>
      <c r="O43" s="12"/>
      <c r="P43" s="71"/>
      <c r="Q43" s="12"/>
      <c r="R43" s="71"/>
      <c r="S43" s="12"/>
      <c r="T43" s="60"/>
      <c r="U43" s="12"/>
      <c r="V43" s="60"/>
      <c r="W43" s="12"/>
      <c r="X43" s="72"/>
      <c r="Y43" s="36"/>
    </row>
    <row r="44" spans="1:25" s="2" customFormat="1" ht="12">
      <c r="A44" s="55" t="s">
        <v>122</v>
      </c>
      <c r="C44" s="32">
        <v>229512471</v>
      </c>
      <c r="D44" s="32">
        <v>-3701314</v>
      </c>
      <c r="E44" s="32">
        <v>-5726161</v>
      </c>
      <c r="F44" s="32">
        <v>-1816093</v>
      </c>
      <c r="G44" s="32">
        <v>41652980</v>
      </c>
      <c r="H44" s="32">
        <v>0</v>
      </c>
      <c r="I44" s="32"/>
      <c r="J44" s="32">
        <f>SUM(C44:I44)</f>
        <v>259921883</v>
      </c>
      <c r="K44" s="32"/>
      <c r="L44" s="32"/>
      <c r="M44" s="32">
        <v>65076122</v>
      </c>
      <c r="N44" s="32"/>
      <c r="O44" s="32">
        <v>4330110</v>
      </c>
      <c r="P44" s="32"/>
      <c r="Q44" s="32">
        <v>3361031</v>
      </c>
      <c r="R44" s="32"/>
      <c r="S44" s="32">
        <v>14814123</v>
      </c>
      <c r="T44" s="32"/>
      <c r="U44" s="32">
        <f>SUM(J44:T44)</f>
        <v>347503269</v>
      </c>
      <c r="V44" s="32"/>
      <c r="W44" s="32">
        <v>330965677</v>
      </c>
      <c r="X44" s="32"/>
      <c r="Y44" s="3"/>
    </row>
    <row r="45" spans="1:25" s="2" customFormat="1" ht="12">
      <c r="A45" s="55"/>
      <c r="C45" s="73"/>
      <c r="D45" s="73"/>
      <c r="E45" s="73"/>
      <c r="F45" s="73"/>
      <c r="G45" s="73"/>
      <c r="H45" s="73"/>
      <c r="I45" s="36"/>
      <c r="J45" s="73"/>
      <c r="K45" s="3"/>
      <c r="L45" s="36"/>
      <c r="M45" s="73"/>
      <c r="N45" s="3"/>
      <c r="O45" s="73"/>
      <c r="P45" s="3"/>
      <c r="Q45" s="73"/>
      <c r="R45" s="3"/>
      <c r="S45" s="73"/>
      <c r="T45" s="3"/>
      <c r="U45" s="38"/>
      <c r="V45" s="38"/>
      <c r="W45" s="38"/>
      <c r="Y45" s="3"/>
    </row>
    <row r="46" spans="1:25" s="2" customFormat="1" ht="12.75" thickBot="1">
      <c r="A46" s="2" t="s">
        <v>80</v>
      </c>
      <c r="C46" s="74">
        <f aca="true" t="shared" si="4" ref="C46:H46">+C42+C44</f>
        <v>247515169</v>
      </c>
      <c r="D46" s="74">
        <f t="shared" si="4"/>
        <v>2009977</v>
      </c>
      <c r="E46" s="74">
        <f t="shared" si="4"/>
        <v>4865201</v>
      </c>
      <c r="F46" s="74">
        <f t="shared" si="4"/>
        <v>3785471</v>
      </c>
      <c r="G46" s="74">
        <f t="shared" si="4"/>
        <v>33267457.86</v>
      </c>
      <c r="H46" s="74">
        <f t="shared" si="4"/>
        <v>2743416</v>
      </c>
      <c r="I46" s="52"/>
      <c r="J46" s="74">
        <f>+J42+J44</f>
        <v>294186691.86</v>
      </c>
      <c r="K46" s="3"/>
      <c r="L46" s="52"/>
      <c r="M46" s="74">
        <f>+M42+M44</f>
        <v>66709114</v>
      </c>
      <c r="N46" s="3"/>
      <c r="O46" s="74">
        <f>+O42+O44</f>
        <v>4479550</v>
      </c>
      <c r="P46" s="3"/>
      <c r="Q46" s="74">
        <f>+Q42+Q44</f>
        <v>4005416</v>
      </c>
      <c r="R46" s="3"/>
      <c r="S46" s="74">
        <f>+S42+S44</f>
        <v>21204196</v>
      </c>
      <c r="T46" s="3"/>
      <c r="U46" s="38">
        <f>+U42+U44</f>
        <v>390584967.86</v>
      </c>
      <c r="V46" s="38"/>
      <c r="W46" s="38">
        <v>347503269</v>
      </c>
      <c r="Y46" s="3"/>
    </row>
    <row r="47" spans="1:23" ht="15" thickTop="1">
      <c r="A47" s="100"/>
      <c r="B47" s="100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3"/>
      <c r="U47" s="3"/>
      <c r="V47" s="38"/>
      <c r="W47" s="38"/>
    </row>
    <row r="48" spans="1:23" ht="13.5">
      <c r="A48" s="100" t="s">
        <v>123</v>
      </c>
      <c r="B48" s="100"/>
      <c r="C48" s="75"/>
      <c r="D48" s="75"/>
      <c r="E48" s="75"/>
      <c r="F48" s="75"/>
      <c r="G48" s="75"/>
      <c r="H48" s="75"/>
      <c r="I48" s="76"/>
      <c r="J48" s="75"/>
      <c r="K48" s="75"/>
      <c r="L48" s="76"/>
      <c r="M48" s="75"/>
      <c r="N48" s="75"/>
      <c r="O48" s="75"/>
      <c r="P48" s="75"/>
      <c r="Q48" s="75"/>
      <c r="R48" s="75"/>
      <c r="S48" s="75"/>
      <c r="T48" s="3"/>
      <c r="U48" s="38">
        <f>+SUM(W48:W50)</f>
        <v>953388710</v>
      </c>
      <c r="V48" s="38"/>
      <c r="W48" s="38">
        <v>814283311</v>
      </c>
    </row>
    <row r="49" spans="1:23" ht="13.5">
      <c r="A49" s="100"/>
      <c r="B49" s="100"/>
      <c r="C49" s="3"/>
      <c r="D49" s="3"/>
      <c r="E49" s="3"/>
      <c r="F49" s="3"/>
      <c r="G49" s="3"/>
      <c r="H49" s="3"/>
      <c r="I49" s="36"/>
      <c r="J49" s="3"/>
      <c r="K49" s="3"/>
      <c r="L49" s="36"/>
      <c r="M49" s="3"/>
      <c r="N49" s="3"/>
      <c r="O49" s="3"/>
      <c r="P49" s="3"/>
      <c r="Q49" s="3"/>
      <c r="R49" s="3"/>
      <c r="S49" s="3"/>
      <c r="T49" s="3"/>
      <c r="U49" s="38"/>
      <c r="V49" s="38"/>
      <c r="W49" s="38"/>
    </row>
    <row r="50" spans="1:23" ht="13.5">
      <c r="A50" s="100" t="s">
        <v>124</v>
      </c>
      <c r="B50" s="100"/>
      <c r="C50" s="3"/>
      <c r="D50" s="3"/>
      <c r="E50" s="3"/>
      <c r="F50" s="3"/>
      <c r="G50" s="3"/>
      <c r="H50" s="3"/>
      <c r="I50" s="36"/>
      <c r="J50" s="3"/>
      <c r="K50" s="3"/>
      <c r="L50" s="36"/>
      <c r="M50" s="3"/>
      <c r="N50" s="3"/>
      <c r="O50" s="3"/>
      <c r="P50" s="3"/>
      <c r="Q50" s="3"/>
      <c r="R50" s="3"/>
      <c r="S50" s="3"/>
      <c r="T50" s="3"/>
      <c r="U50" s="38">
        <v>161529947</v>
      </c>
      <c r="V50" s="38"/>
      <c r="W50" s="38">
        <v>139105399</v>
      </c>
    </row>
    <row r="51" spans="1:23" ht="13.5">
      <c r="A51" s="100"/>
      <c r="B51" s="100"/>
      <c r="C51" s="3"/>
      <c r="D51" s="3"/>
      <c r="E51" s="3"/>
      <c r="F51" s="3"/>
      <c r="G51" s="3"/>
      <c r="H51" s="3"/>
      <c r="I51" s="36"/>
      <c r="J51" s="3"/>
      <c r="K51" s="3"/>
      <c r="L51" s="3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" thickBot="1">
      <c r="A52" s="55" t="s">
        <v>81</v>
      </c>
      <c r="B52" s="100"/>
      <c r="C52" s="77"/>
      <c r="D52" s="77"/>
      <c r="E52" s="77"/>
      <c r="F52" s="77"/>
      <c r="G52" s="77"/>
      <c r="H52" s="77"/>
      <c r="I52" s="78"/>
      <c r="J52" s="77"/>
      <c r="K52" s="77"/>
      <c r="L52" s="78"/>
      <c r="M52" s="77"/>
      <c r="N52" s="77"/>
      <c r="O52" s="77"/>
      <c r="P52" s="77"/>
      <c r="Q52" s="77"/>
      <c r="R52" s="77"/>
      <c r="S52" s="77"/>
      <c r="T52" s="77"/>
      <c r="U52" s="74">
        <f>SUM(U46:U51)</f>
        <v>1505503624.8600001</v>
      </c>
      <c r="V52" s="3"/>
      <c r="W52" s="74">
        <f>+W46+W50+W48</f>
        <v>1300891979</v>
      </c>
    </row>
    <row r="53" spans="1:23" ht="15" thickTop="1">
      <c r="A53" s="100"/>
      <c r="B53" s="100"/>
      <c r="C53" s="3"/>
      <c r="D53" s="3"/>
      <c r="E53" s="3"/>
      <c r="F53" s="3"/>
      <c r="G53" s="3"/>
      <c r="H53" s="3"/>
      <c r="I53" s="36"/>
      <c r="J53" s="3"/>
      <c r="K53" s="3"/>
      <c r="L53" s="3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3.5">
      <c r="A54" s="179" t="s">
        <v>82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</row>
    <row r="55" spans="1:23" ht="13.5" hidden="1">
      <c r="A55" s="100"/>
      <c r="B55" s="100"/>
      <c r="C55" s="100"/>
      <c r="D55" s="100"/>
      <c r="E55" s="100"/>
      <c r="F55" s="100"/>
      <c r="G55" s="100"/>
      <c r="H55" s="100"/>
      <c r="I55" s="108"/>
      <c r="J55" s="100"/>
      <c r="K55" s="100"/>
      <c r="L55" s="108"/>
      <c r="M55" s="100"/>
      <c r="N55" s="100"/>
      <c r="O55" s="100"/>
      <c r="P55" s="100"/>
      <c r="Q55" s="100"/>
      <c r="R55" s="100"/>
      <c r="S55" s="123"/>
      <c r="T55" s="43"/>
      <c r="U55" s="79">
        <f>1299021497</f>
        <v>1299021497</v>
      </c>
      <c r="V55" s="3"/>
      <c r="W55" s="3"/>
    </row>
    <row r="56" spans="1:23" ht="13.5" hidden="1">
      <c r="A56" s="100"/>
      <c r="B56" s="100"/>
      <c r="C56" s="100"/>
      <c r="D56" s="100"/>
      <c r="E56" s="100"/>
      <c r="F56" s="100"/>
      <c r="G56" s="100"/>
      <c r="H56" s="100"/>
      <c r="I56" s="108"/>
      <c r="J56" s="100"/>
      <c r="K56" s="100"/>
      <c r="L56" s="108"/>
      <c r="M56" s="100"/>
      <c r="N56" s="100"/>
      <c r="O56" s="100"/>
      <c r="P56" s="100"/>
      <c r="Q56" s="100"/>
      <c r="R56" s="100"/>
      <c r="S56" s="100"/>
      <c r="T56" s="43"/>
      <c r="U56" s="124">
        <f>+U52-U55</f>
        <v>206482127.86000013</v>
      </c>
      <c r="V56" s="100"/>
      <c r="W56" s="100"/>
    </row>
    <row r="57" spans="1:23" ht="13.5" hidden="1">
      <c r="A57" s="100"/>
      <c r="B57" s="100"/>
      <c r="C57" s="100"/>
      <c r="D57" s="100"/>
      <c r="E57" s="100"/>
      <c r="F57" s="100"/>
      <c r="G57" s="100"/>
      <c r="H57" s="100"/>
      <c r="I57" s="108"/>
      <c r="J57" s="100"/>
      <c r="K57" s="100"/>
      <c r="L57" s="108"/>
      <c r="M57" s="100"/>
      <c r="N57" s="100"/>
      <c r="O57" s="100"/>
      <c r="P57" s="100"/>
      <c r="Q57" s="100"/>
      <c r="R57" s="100"/>
      <c r="S57" s="100"/>
      <c r="T57" s="100"/>
      <c r="U57" s="3"/>
      <c r="V57" s="100"/>
      <c r="W57" s="100"/>
    </row>
    <row r="58" spans="1:23" ht="13.5" hidden="1">
      <c r="A58" s="80" t="s">
        <v>18</v>
      </c>
      <c r="B58" s="100"/>
      <c r="C58" s="125">
        <v>11127803.74</v>
      </c>
      <c r="D58" s="125">
        <v>-26053266.8</v>
      </c>
      <c r="E58" s="125">
        <v>18155589.88</v>
      </c>
      <c r="F58" s="125">
        <v>-1322668.38</v>
      </c>
      <c r="G58" s="125"/>
      <c r="H58" s="125"/>
      <c r="I58" s="125"/>
      <c r="J58" s="125">
        <f>+SUM(C58:F58)</f>
        <v>1907458.4399999985</v>
      </c>
      <c r="K58" s="125"/>
      <c r="L58" s="125"/>
      <c r="M58" s="125">
        <v>1451433.6</v>
      </c>
      <c r="N58" s="125"/>
      <c r="O58" s="125">
        <v>193006.67</v>
      </c>
      <c r="P58" s="125"/>
      <c r="Q58" s="125">
        <v>6660569.54</v>
      </c>
      <c r="R58" s="125"/>
      <c r="S58" s="125">
        <v>9047075.95</v>
      </c>
      <c r="T58" s="100"/>
      <c r="U58" s="125">
        <v>14684470</v>
      </c>
      <c r="V58" s="100"/>
      <c r="W58" s="126">
        <f>+SUM(J58:S58)-U58</f>
        <v>4575074.1999999955</v>
      </c>
    </row>
    <row r="59" spans="1:23" ht="13.5" hidden="1">
      <c r="A59" s="80" t="s">
        <v>19</v>
      </c>
      <c r="B59" s="100"/>
      <c r="C59" s="123">
        <f>+C22-C30-C36</f>
        <v>5116966</v>
      </c>
      <c r="D59" s="123">
        <f>+D22-D30-D36</f>
        <v>-22483293</v>
      </c>
      <c r="E59" s="123">
        <f>+E22-E30-E36</f>
        <v>19414373</v>
      </c>
      <c r="F59" s="123">
        <f>+F22-F30-F36</f>
        <v>4059293</v>
      </c>
      <c r="G59" s="123"/>
      <c r="H59" s="123"/>
      <c r="I59" s="100"/>
      <c r="J59" s="123">
        <f>+J22-J30-J36</f>
        <v>14913181</v>
      </c>
      <c r="K59" s="100"/>
      <c r="L59" s="100"/>
      <c r="M59" s="123">
        <f>+M22-M30-M36</f>
        <v>1632992</v>
      </c>
      <c r="N59" s="100"/>
      <c r="O59" s="123">
        <f>+O22-O30-O36</f>
        <v>149440</v>
      </c>
      <c r="P59" s="100"/>
      <c r="Q59" s="123">
        <f>+Q22-Q30-Q36</f>
        <v>14246257</v>
      </c>
      <c r="R59" s="100"/>
      <c r="S59" s="123">
        <f>+S22-S30-S36</f>
        <v>12206521</v>
      </c>
      <c r="T59" s="100"/>
      <c r="U59" s="123">
        <f>+U22-U30-U36</f>
        <v>43148391</v>
      </c>
      <c r="V59" s="100"/>
      <c r="W59" s="126">
        <f>+SUM(J59:S59)-U59</f>
        <v>0</v>
      </c>
    </row>
    <row r="60" spans="1:23" ht="13.5" hidden="1">
      <c r="A60" s="80" t="s">
        <v>20</v>
      </c>
      <c r="B60" s="100"/>
      <c r="C60" s="119">
        <f>+C40+C38</f>
        <v>12885732</v>
      </c>
      <c r="D60" s="119">
        <f>+D40+D38</f>
        <v>28194584</v>
      </c>
      <c r="E60" s="119">
        <f>+E40+E38</f>
        <v>-8823011</v>
      </c>
      <c r="F60" s="119">
        <f>+F40+F38</f>
        <v>1542271</v>
      </c>
      <c r="G60" s="119"/>
      <c r="H60" s="119"/>
      <c r="I60" s="119"/>
      <c r="J60" s="119">
        <f>+J40+J38</f>
        <v>19351627.86</v>
      </c>
      <c r="K60" s="100"/>
      <c r="L60" s="119"/>
      <c r="M60" s="119">
        <f>+M40+M38</f>
        <v>0</v>
      </c>
      <c r="N60" s="119"/>
      <c r="O60" s="119">
        <f>+O40+O38</f>
        <v>0</v>
      </c>
      <c r="P60" s="119"/>
      <c r="Q60" s="119">
        <f>+Q40+Q38</f>
        <v>-13601872</v>
      </c>
      <c r="R60" s="119"/>
      <c r="S60" s="119">
        <f>+S40+S38</f>
        <v>-5816448</v>
      </c>
      <c r="T60" s="119"/>
      <c r="U60" s="119">
        <f>+U40+U38</f>
        <v>-66692.1400000006</v>
      </c>
      <c r="V60" s="100"/>
      <c r="W60" s="126">
        <f>+SUM(J60:S60)-U60</f>
        <v>0</v>
      </c>
    </row>
    <row r="61" spans="1:23" ht="13.5" hidden="1">
      <c r="A61" s="80" t="s">
        <v>21</v>
      </c>
      <c r="B61" s="100"/>
      <c r="C61" s="119">
        <f>+C59+C44+C60</f>
        <v>247515169</v>
      </c>
      <c r="D61" s="119">
        <f>+D59+D44+D60</f>
        <v>2009977</v>
      </c>
      <c r="E61" s="119">
        <f>+E59+E44+E60</f>
        <v>4865201</v>
      </c>
      <c r="F61" s="119">
        <f>+F59+F44+F60</f>
        <v>3785471</v>
      </c>
      <c r="G61" s="119"/>
      <c r="H61" s="119"/>
      <c r="I61" s="119"/>
      <c r="J61" s="119">
        <f>+J59+J44+J60</f>
        <v>294186691.86</v>
      </c>
      <c r="K61" s="100"/>
      <c r="L61" s="119"/>
      <c r="M61" s="119">
        <f>+M59+M44+M60</f>
        <v>66709114</v>
      </c>
      <c r="N61" s="119"/>
      <c r="O61" s="119">
        <f>+O59+O44+O60</f>
        <v>4479550</v>
      </c>
      <c r="P61" s="119"/>
      <c r="Q61" s="119">
        <f>+Q59+Q44+Q60</f>
        <v>4005416</v>
      </c>
      <c r="R61" s="119"/>
      <c r="S61" s="119">
        <f>+S59+S44+S60</f>
        <v>21204196</v>
      </c>
      <c r="T61" s="119"/>
      <c r="U61" s="119">
        <f>+U59+U44+U60</f>
        <v>390584967.86</v>
      </c>
      <c r="V61" s="100"/>
      <c r="W61" s="126">
        <f>+SUM(J61:S61)-U61</f>
        <v>0</v>
      </c>
    </row>
    <row r="62" spans="1:23" ht="13.5" hidden="1">
      <c r="A62" s="80"/>
      <c r="B62" s="100"/>
      <c r="C62" s="119">
        <f>+C46-C61</f>
        <v>0</v>
      </c>
      <c r="D62" s="119">
        <f>+D46-D61</f>
        <v>0</v>
      </c>
      <c r="E62" s="119">
        <f>+E46-E61</f>
        <v>0</v>
      </c>
      <c r="F62" s="119">
        <f>+F46-F61</f>
        <v>0</v>
      </c>
      <c r="G62" s="119"/>
      <c r="H62" s="119"/>
      <c r="I62" s="119"/>
      <c r="J62" s="119">
        <f>+J46-J61</f>
        <v>0</v>
      </c>
      <c r="K62" s="100"/>
      <c r="L62" s="119"/>
      <c r="M62" s="119">
        <f>+M46-M61</f>
        <v>0</v>
      </c>
      <c r="N62" s="119"/>
      <c r="O62" s="119">
        <f>+O46-O61</f>
        <v>0</v>
      </c>
      <c r="P62" s="119"/>
      <c r="Q62" s="119">
        <f>+Q46-Q61</f>
        <v>0</v>
      </c>
      <c r="R62" s="119"/>
      <c r="S62" s="119">
        <f>+S46-S61</f>
        <v>0</v>
      </c>
      <c r="T62" s="119"/>
      <c r="U62" s="119">
        <f>+U46-U61</f>
        <v>0</v>
      </c>
      <c r="V62" s="100"/>
      <c r="W62" s="126">
        <f>+SUM(J62:S62)-U62</f>
        <v>0</v>
      </c>
    </row>
    <row r="63" spans="1:23" ht="13.5" hidden="1">
      <c r="A63" s="8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</row>
    <row r="64" spans="1:23" ht="13.5" hidden="1">
      <c r="A64" s="8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</row>
    <row r="65" spans="1:23" ht="13.5" hidden="1">
      <c r="A65" s="80"/>
      <c r="B65" s="100"/>
      <c r="C65" s="123">
        <v>229032184</v>
      </c>
      <c r="D65" s="123">
        <v>-3710028</v>
      </c>
      <c r="E65" s="123">
        <v>-7107642</v>
      </c>
      <c r="F65" s="123">
        <v>-1816093</v>
      </c>
      <c r="G65" s="123"/>
      <c r="H65" s="123"/>
      <c r="I65" s="123"/>
      <c r="J65" s="123">
        <f>+J22+J38+J40-J30-J36+J44</f>
        <v>294186691.86</v>
      </c>
      <c r="K65" s="100"/>
      <c r="L65" s="123"/>
      <c r="M65" s="123">
        <v>65076122</v>
      </c>
      <c r="N65" s="123"/>
      <c r="O65" s="123">
        <v>4330110</v>
      </c>
      <c r="P65" s="123"/>
      <c r="Q65" s="123">
        <v>3361031</v>
      </c>
      <c r="R65" s="123"/>
      <c r="S65" s="123">
        <v>14814123</v>
      </c>
      <c r="T65" s="123"/>
      <c r="U65" s="123">
        <f>+U22+U38+U40-U30-U36+U44</f>
        <v>390584967.86</v>
      </c>
      <c r="V65" s="100"/>
      <c r="W65" s="126">
        <f>+SUM(J65:S65)-U65</f>
        <v>-8816890</v>
      </c>
    </row>
    <row r="66" spans="1:23" ht="13.5" hidden="1">
      <c r="A66" s="80"/>
      <c r="B66" s="100"/>
      <c r="C66" s="123">
        <f>+C46-C65</f>
        <v>18482985</v>
      </c>
      <c r="D66" s="123">
        <f>+D46-D65</f>
        <v>5720005</v>
      </c>
      <c r="E66" s="123">
        <f>+E46-E65</f>
        <v>11972843</v>
      </c>
      <c r="F66" s="123">
        <f>+F46-F65</f>
        <v>5601564</v>
      </c>
      <c r="G66" s="123"/>
      <c r="H66" s="123"/>
      <c r="I66" s="123"/>
      <c r="J66" s="123">
        <f>+J46-J65</f>
        <v>0</v>
      </c>
      <c r="K66" s="100"/>
      <c r="L66" s="123"/>
      <c r="M66" s="123">
        <f>+M46-M65</f>
        <v>1632992</v>
      </c>
      <c r="N66" s="123"/>
      <c r="O66" s="123">
        <f>+O46-O65</f>
        <v>149440</v>
      </c>
      <c r="P66" s="123"/>
      <c r="Q66" s="123">
        <f>+Q46-Q65</f>
        <v>644385</v>
      </c>
      <c r="R66" s="123"/>
      <c r="S66" s="123">
        <f>+S46-S65</f>
        <v>6390073</v>
      </c>
      <c r="T66" s="123"/>
      <c r="U66" s="123">
        <f>+U46-U65</f>
        <v>0</v>
      </c>
      <c r="V66" s="100"/>
      <c r="W66" s="126">
        <f>+SUM(J66:S66)-U66</f>
        <v>8816890</v>
      </c>
    </row>
    <row r="67" spans="1:23" ht="13.5" hidden="1">
      <c r="A67" s="8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</row>
    <row r="68" spans="1:23" ht="13.5" hidden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</row>
    <row r="69" spans="1:23" ht="13.5" hidden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</row>
    <row r="70" spans="1:23" ht="13.5" hidden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</row>
    <row r="71" spans="1:23" ht="13.5" hidden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</row>
    <row r="72" spans="1:23" ht="13.5" hidden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</row>
    <row r="73" spans="1:23" ht="13.5" hidden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</row>
    <row r="74" spans="1:23" ht="13.5" hidden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</row>
    <row r="75" spans="1:23" ht="13.5" hidden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</row>
    <row r="76" spans="1:23" ht="13.5" hidden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</row>
    <row r="77" spans="1:23" ht="13.5" hidden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</row>
    <row r="78" spans="1:23" ht="13.5" hidden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</row>
    <row r="79" spans="1:23" ht="13.5" hidden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</row>
    <row r="80" spans="1:23" ht="13.5" hidden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</row>
    <row r="81" spans="1:23" ht="13.5" hidden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</row>
    <row r="82" spans="1:23" ht="13.5" hidden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</row>
    <row r="83" spans="1:23" ht="13.5" hidden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</row>
    <row r="84" spans="1:23" ht="13.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</row>
    <row r="86" spans="1:22" ht="13.5">
      <c r="A86" s="99" t="s">
        <v>110</v>
      </c>
      <c r="Q86" s="176" t="s">
        <v>112</v>
      </c>
      <c r="R86" s="176"/>
      <c r="S86" s="176"/>
      <c r="T86" s="176"/>
      <c r="U86" s="176"/>
      <c r="V86" s="176"/>
    </row>
    <row r="87" spans="1:21" ht="13.5">
      <c r="A87" s="167" t="s">
        <v>135</v>
      </c>
      <c r="Q87" s="176" t="s">
        <v>113</v>
      </c>
      <c r="R87" s="176"/>
      <c r="S87" s="176"/>
      <c r="T87" s="176"/>
      <c r="U87" s="176"/>
    </row>
    <row r="88" spans="1:22" ht="13.5">
      <c r="A88" s="99" t="s">
        <v>111</v>
      </c>
      <c r="Q88" s="176" t="s">
        <v>111</v>
      </c>
      <c r="R88" s="176"/>
      <c r="S88" s="176"/>
      <c r="T88" s="176"/>
      <c r="U88" s="176"/>
      <c r="V88" s="176"/>
    </row>
  </sheetData>
  <sheetProtection/>
  <mergeCells count="13">
    <mergeCell ref="Q88:V88"/>
    <mergeCell ref="A2:W2"/>
    <mergeCell ref="A1:W1"/>
    <mergeCell ref="A4:W4"/>
    <mergeCell ref="Q86:V86"/>
    <mergeCell ref="Q87:U87"/>
    <mergeCell ref="A54:W54"/>
    <mergeCell ref="A3:W3"/>
    <mergeCell ref="C6:F6"/>
    <mergeCell ref="L6:S6"/>
    <mergeCell ref="U6:U7"/>
    <mergeCell ref="W6:W7"/>
    <mergeCell ref="L7:S7"/>
  </mergeCells>
  <printOptions horizontalCentered="1"/>
  <pageMargins left="0.7086614173228347" right="0.7086614173228347" top="0.46" bottom="0.45" header="0.31496062992125984" footer="0.31496062992125984"/>
  <pageSetup fitToHeight="1" fitToWidth="1" horizontalDpi="600" verticalDpi="600" orientation="landscape" paperSize="5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44">
      <selection activeCell="A53" sqref="A53:IV53"/>
    </sheetView>
  </sheetViews>
  <sheetFormatPr defaultColWidth="9.140625" defaultRowHeight="15"/>
  <cols>
    <col min="1" max="1" width="77.00390625" style="81" customWidth="1"/>
    <col min="2" max="2" width="1.7109375" style="81" customWidth="1"/>
    <col min="3" max="3" width="18.7109375" style="81" customWidth="1"/>
    <col min="4" max="4" width="1.7109375" style="81" customWidth="1"/>
    <col min="5" max="5" width="18.7109375" style="81" customWidth="1"/>
    <col min="6" max="6" width="1.7109375" style="81" customWidth="1"/>
    <col min="7" max="7" width="9.140625" style="81" customWidth="1"/>
    <col min="8" max="8" width="32.7109375" style="81" customWidth="1"/>
    <col min="9" max="9" width="9.140625" style="81" customWidth="1"/>
    <col min="10" max="10" width="28.00390625" style="81" bestFit="1" customWidth="1"/>
    <col min="11" max="11" width="26.421875" style="81" bestFit="1" customWidth="1"/>
    <col min="12" max="14" width="27.421875" style="81" bestFit="1" customWidth="1"/>
    <col min="15" max="15" width="24.140625" style="81" bestFit="1" customWidth="1"/>
    <col min="16" max="16" width="23.140625" style="81" bestFit="1" customWidth="1"/>
    <col min="17" max="17" width="21.00390625" style="81" bestFit="1" customWidth="1"/>
    <col min="18" max="16384" width="9.140625" style="81" customWidth="1"/>
  </cols>
  <sheetData>
    <row r="1" spans="1:5" ht="19.5" customHeight="1">
      <c r="A1" s="185" t="s">
        <v>22</v>
      </c>
      <c r="B1" s="185"/>
      <c r="C1" s="185"/>
      <c r="D1" s="185"/>
      <c r="E1" s="185"/>
    </row>
    <row r="2" spans="1:5" ht="19.5" customHeight="1">
      <c r="A2" s="185" t="s">
        <v>126</v>
      </c>
      <c r="B2" s="185"/>
      <c r="C2" s="185"/>
      <c r="D2" s="185"/>
      <c r="E2" s="185"/>
    </row>
    <row r="3" spans="1:5" ht="19.5" customHeight="1">
      <c r="A3" s="186" t="s">
        <v>95</v>
      </c>
      <c r="B3" s="186"/>
      <c r="C3" s="186"/>
      <c r="D3" s="186"/>
      <c r="E3" s="186"/>
    </row>
    <row r="4" spans="1:5" ht="19.5" customHeight="1">
      <c r="A4" s="187" t="s">
        <v>102</v>
      </c>
      <c r="B4" s="187"/>
      <c r="C4" s="187"/>
      <c r="D4" s="187"/>
      <c r="E4" s="187"/>
    </row>
    <row r="6" spans="3:5" ht="15">
      <c r="C6" s="127">
        <v>2010</v>
      </c>
      <c r="D6" s="128"/>
      <c r="E6" s="127">
        <v>2009</v>
      </c>
    </row>
    <row r="7" ht="15">
      <c r="A7" s="165" t="s">
        <v>83</v>
      </c>
    </row>
    <row r="8" ht="15">
      <c r="F8" s="129"/>
    </row>
    <row r="9" spans="1:8" ht="15">
      <c r="A9" s="130" t="s">
        <v>84</v>
      </c>
      <c r="C9" s="131">
        <f>+'[1]Edo actividades'!U42</f>
        <v>43081698.860000014</v>
      </c>
      <c r="E9" s="131">
        <f>+'[1]Edo actividades'!W42</f>
        <v>16537592</v>
      </c>
      <c r="F9" s="132"/>
      <c r="H9" s="133"/>
    </row>
    <row r="10" spans="3:6" ht="15">
      <c r="C10" s="134"/>
      <c r="D10" s="134"/>
      <c r="E10" s="134"/>
      <c r="F10" s="129"/>
    </row>
    <row r="11" spans="1:6" ht="15">
      <c r="A11" s="135" t="s">
        <v>127</v>
      </c>
      <c r="B11" s="136"/>
      <c r="C11" s="137"/>
      <c r="D11" s="137"/>
      <c r="E11" s="137"/>
      <c r="F11" s="129"/>
    </row>
    <row r="12" spans="1:6" ht="15">
      <c r="A12" s="81" t="s">
        <v>128</v>
      </c>
      <c r="B12" s="138"/>
      <c r="C12" s="137"/>
      <c r="D12" s="139"/>
      <c r="E12" s="137"/>
      <c r="F12" s="129"/>
    </row>
    <row r="13" spans="2:6" ht="15">
      <c r="B13" s="138"/>
      <c r="C13" s="137"/>
      <c r="D13" s="139"/>
      <c r="E13" s="137"/>
      <c r="F13" s="129"/>
    </row>
    <row r="14" spans="1:6" ht="15">
      <c r="A14" s="81" t="s">
        <v>129</v>
      </c>
      <c r="B14" s="138"/>
      <c r="C14" s="137">
        <v>0</v>
      </c>
      <c r="D14" s="139"/>
      <c r="E14" s="137">
        <v>97154.8600000143</v>
      </c>
      <c r="F14" s="129"/>
    </row>
    <row r="15" spans="1:6" ht="15">
      <c r="A15" s="140" t="s">
        <v>130</v>
      </c>
      <c r="B15" s="141"/>
      <c r="C15" s="142">
        <v>3709042</v>
      </c>
      <c r="D15" s="143"/>
      <c r="E15" s="137">
        <v>4311880.4</v>
      </c>
      <c r="F15" s="144" t="s">
        <v>6</v>
      </c>
    </row>
    <row r="16" spans="1:6" ht="15">
      <c r="A16" s="140" t="s">
        <v>85</v>
      </c>
      <c r="B16" s="145"/>
      <c r="C16" s="137"/>
      <c r="D16" s="139"/>
      <c r="F16" s="146"/>
    </row>
    <row r="17" spans="2:6" ht="15">
      <c r="B17" s="145"/>
      <c r="C17" s="147"/>
      <c r="D17" s="139"/>
      <c r="E17" s="147"/>
      <c r="F17" s="148"/>
    </row>
    <row r="18" spans="2:8" ht="15">
      <c r="B18" s="145"/>
      <c r="C18" s="139">
        <f>+SUM(C9:C16)</f>
        <v>46790740.860000014</v>
      </c>
      <c r="D18" s="139"/>
      <c r="E18" s="139">
        <f>+SUM(E9:E16)</f>
        <v>20946627.260000013</v>
      </c>
      <c r="F18" s="148"/>
      <c r="H18" s="134"/>
    </row>
    <row r="19" spans="1:6" ht="15">
      <c r="A19" s="140" t="s">
        <v>107</v>
      </c>
      <c r="B19" s="145"/>
      <c r="C19" s="137"/>
      <c r="D19" s="139"/>
      <c r="E19" s="137"/>
      <c r="F19" s="129"/>
    </row>
    <row r="20" spans="2:6" ht="15">
      <c r="B20" s="145"/>
      <c r="C20" s="137"/>
      <c r="D20" s="139"/>
      <c r="E20" s="137"/>
      <c r="F20" s="129"/>
    </row>
    <row r="21" spans="1:6" ht="15">
      <c r="A21" s="130" t="s">
        <v>88</v>
      </c>
      <c r="B21" s="145"/>
      <c r="C21" s="137">
        <f>+'[1]Balance'!N13</f>
        <v>1069814</v>
      </c>
      <c r="D21" s="139"/>
      <c r="E21" s="137">
        <v>1161693</v>
      </c>
      <c r="F21" s="129"/>
    </row>
    <row r="22" spans="1:6" ht="15">
      <c r="A22" s="140" t="s">
        <v>87</v>
      </c>
      <c r="B22" s="149"/>
      <c r="C22" s="137">
        <f>+'[1]Balance'!N14</f>
        <v>-494111</v>
      </c>
      <c r="D22" s="150"/>
      <c r="E22" s="137">
        <v>-1843838</v>
      </c>
      <c r="F22" s="129"/>
    </row>
    <row r="23" spans="1:6" ht="15">
      <c r="A23" s="130" t="s">
        <v>86</v>
      </c>
      <c r="B23" s="149"/>
      <c r="C23" s="137">
        <f>+'[1]Balance'!N22</f>
        <v>-799602</v>
      </c>
      <c r="D23" s="150"/>
      <c r="E23" s="137">
        <v>2413821</v>
      </c>
      <c r="F23" s="129"/>
    </row>
    <row r="24" spans="1:6" ht="15">
      <c r="A24" s="140" t="s">
        <v>131</v>
      </c>
      <c r="B24" s="149"/>
      <c r="C24" s="137">
        <v>-30971336</v>
      </c>
      <c r="D24" s="150"/>
      <c r="E24" s="137">
        <v>-6386707.57</v>
      </c>
      <c r="F24" s="129"/>
    </row>
    <row r="25" spans="1:6" ht="15">
      <c r="A25" s="140" t="s">
        <v>108</v>
      </c>
      <c r="B25" s="151"/>
      <c r="C25" s="147">
        <v>-4546560</v>
      </c>
      <c r="D25" s="152"/>
      <c r="E25" s="147">
        <v>-3358090.8301</v>
      </c>
      <c r="F25" s="146"/>
    </row>
    <row r="26" spans="1:6" ht="15">
      <c r="A26" s="130"/>
      <c r="B26" s="151"/>
      <c r="C26" s="139"/>
      <c r="D26" s="152"/>
      <c r="E26" s="139"/>
      <c r="F26" s="148"/>
    </row>
    <row r="27" spans="1:11" ht="15">
      <c r="A27" s="41" t="s">
        <v>132</v>
      </c>
      <c r="B27" s="145"/>
      <c r="C27" s="137">
        <f>+C18+C21+C22+C23+C24+C25</f>
        <v>11048945.860000014</v>
      </c>
      <c r="D27" s="139"/>
      <c r="E27" s="137">
        <f>+E18+E21+E22+E23+E24+E25</f>
        <v>12933504.859900013</v>
      </c>
      <c r="F27" s="129"/>
      <c r="H27" s="134"/>
      <c r="J27" s="153"/>
      <c r="K27" s="153"/>
    </row>
    <row r="28" spans="2:11" ht="15">
      <c r="B28" s="145"/>
      <c r="C28" s="137"/>
      <c r="D28" s="139"/>
      <c r="E28" s="137"/>
      <c r="F28" s="129"/>
      <c r="K28" s="136"/>
    </row>
    <row r="29" spans="1:11" ht="15">
      <c r="A29" s="154" t="s">
        <v>89</v>
      </c>
      <c r="B29" s="145"/>
      <c r="C29" s="137"/>
      <c r="D29" s="139"/>
      <c r="E29" s="137"/>
      <c r="F29" s="129"/>
      <c r="K29" s="136"/>
    </row>
    <row r="30" spans="2:6" ht="15">
      <c r="B30" s="145"/>
      <c r="C30" s="155"/>
      <c r="D30" s="139"/>
      <c r="E30" s="155"/>
      <c r="F30" s="156"/>
    </row>
    <row r="31" spans="1:6" ht="15">
      <c r="A31" s="140" t="s">
        <v>90</v>
      </c>
      <c r="B31" s="145"/>
      <c r="C31" s="147">
        <v>18941227</v>
      </c>
      <c r="D31" s="139"/>
      <c r="E31" s="147">
        <v>24123370.860000014</v>
      </c>
      <c r="F31" s="156"/>
    </row>
    <row r="32" spans="2:6" ht="15">
      <c r="B32" s="145"/>
      <c r="C32" s="139"/>
      <c r="D32" s="139"/>
      <c r="E32" s="139"/>
      <c r="F32" s="157"/>
    </row>
    <row r="33" spans="1:8" ht="15">
      <c r="A33" s="41" t="s">
        <v>133</v>
      </c>
      <c r="B33" s="145"/>
      <c r="C33" s="137">
        <f>+C31</f>
        <v>18941227</v>
      </c>
      <c r="D33" s="139"/>
      <c r="E33" s="137">
        <f>+E31</f>
        <v>24123370.860000014</v>
      </c>
      <c r="F33" s="146"/>
      <c r="H33" s="134"/>
    </row>
    <row r="34" spans="2:6" ht="15">
      <c r="B34" s="145"/>
      <c r="C34" s="137"/>
      <c r="D34" s="139"/>
      <c r="E34" s="137"/>
      <c r="F34" s="146"/>
    </row>
    <row r="35" spans="1:6" ht="15">
      <c r="A35" s="154" t="s">
        <v>91</v>
      </c>
      <c r="B35" s="145"/>
      <c r="C35" s="137"/>
      <c r="D35" s="139"/>
      <c r="E35" s="137"/>
      <c r="F35" s="129"/>
    </row>
    <row r="36" spans="2:6" ht="15">
      <c r="B36" s="145"/>
      <c r="C36" s="137"/>
      <c r="D36" s="139"/>
      <c r="E36" s="137"/>
      <c r="F36" s="129"/>
    </row>
    <row r="37" spans="1:6" ht="15">
      <c r="A37" s="130" t="s">
        <v>109</v>
      </c>
      <c r="B37" s="145"/>
      <c r="C37" s="137">
        <v>29446946</v>
      </c>
      <c r="D37" s="139"/>
      <c r="E37" s="137">
        <v>0</v>
      </c>
      <c r="F37" s="129"/>
    </row>
    <row r="38" spans="1:6" ht="15">
      <c r="A38" s="130"/>
      <c r="B38" s="145"/>
      <c r="C38" s="137"/>
      <c r="D38" s="139"/>
      <c r="E38" s="137"/>
      <c r="F38" s="129"/>
    </row>
    <row r="39" spans="1:6" ht="15">
      <c r="A39" s="140" t="s">
        <v>92</v>
      </c>
      <c r="B39" s="145"/>
      <c r="C39" s="158">
        <v>-3182260</v>
      </c>
      <c r="D39" s="139"/>
      <c r="E39" s="147">
        <v>-3204635</v>
      </c>
      <c r="F39" s="129"/>
    </row>
    <row r="40" spans="1:6" ht="15">
      <c r="A40" s="130"/>
      <c r="B40" s="145"/>
      <c r="C40" s="137"/>
      <c r="D40" s="139"/>
      <c r="E40" s="137"/>
      <c r="F40" s="129"/>
    </row>
    <row r="41" spans="1:8" ht="15">
      <c r="A41" s="41" t="s">
        <v>134</v>
      </c>
      <c r="B41" s="145"/>
      <c r="C41" s="137">
        <f>+SUM(C36:C39)</f>
        <v>26264686</v>
      </c>
      <c r="D41" s="139"/>
      <c r="E41" s="137">
        <f>+SUM(E36:E39)</f>
        <v>-3204635</v>
      </c>
      <c r="F41" s="129"/>
      <c r="H41" s="134"/>
    </row>
    <row r="42" spans="2:6" ht="15">
      <c r="B42" s="145"/>
      <c r="C42" s="147"/>
      <c r="D42" s="139"/>
      <c r="E42" s="147"/>
      <c r="F42" s="146"/>
    </row>
    <row r="43" spans="1:10" ht="15">
      <c r="A43" s="159" t="s">
        <v>101</v>
      </c>
      <c r="B43" s="145"/>
      <c r="C43" s="137">
        <f>+C27-C33+C41</f>
        <v>18372404.860000014</v>
      </c>
      <c r="D43" s="139"/>
      <c r="E43" s="137">
        <f>+E27-E33+E41</f>
        <v>-14394501.000100002</v>
      </c>
      <c r="F43" s="129"/>
      <c r="H43" s="136"/>
      <c r="J43" s="153"/>
    </row>
    <row r="44" spans="2:6" ht="15">
      <c r="B44" s="145"/>
      <c r="C44" s="139"/>
      <c r="D44" s="139"/>
      <c r="E44" s="139"/>
      <c r="F44" s="146"/>
    </row>
    <row r="45" spans="1:8" ht="15">
      <c r="A45" s="130" t="s">
        <v>93</v>
      </c>
      <c r="B45" s="145"/>
      <c r="C45" s="147">
        <f>+E47</f>
        <v>98707837.29990001</v>
      </c>
      <c r="D45" s="139"/>
      <c r="E45" s="147">
        <v>113102338.30000001</v>
      </c>
      <c r="F45" s="157"/>
      <c r="H45" s="134"/>
    </row>
    <row r="46" spans="2:6" ht="15">
      <c r="B46" s="160"/>
      <c r="C46" s="161"/>
      <c r="D46" s="160"/>
      <c r="E46" s="161"/>
      <c r="F46" s="132"/>
    </row>
    <row r="47" spans="1:8" ht="15.75" thickBot="1">
      <c r="A47" s="154" t="s">
        <v>94</v>
      </c>
      <c r="B47" s="129"/>
      <c r="C47" s="162">
        <f>+C43+C45</f>
        <v>117080242.15990002</v>
      </c>
      <c r="D47" s="129"/>
      <c r="E47" s="162">
        <f>+E43+E45</f>
        <v>98707837.29990001</v>
      </c>
      <c r="F47" s="157"/>
      <c r="H47" s="163"/>
    </row>
    <row r="48" spans="2:6" ht="15.75" thickTop="1">
      <c r="B48" s="129"/>
      <c r="F48" s="156"/>
    </row>
    <row r="49" spans="2:6" ht="15">
      <c r="B49" s="129"/>
      <c r="F49" s="156"/>
    </row>
    <row r="50" spans="2:6" ht="15">
      <c r="B50" s="164"/>
      <c r="F50" s="164"/>
    </row>
    <row r="51" spans="1:5" ht="15">
      <c r="A51" s="188" t="s">
        <v>82</v>
      </c>
      <c r="B51" s="188"/>
      <c r="C51" s="188"/>
      <c r="D51" s="188"/>
      <c r="E51" s="188"/>
    </row>
    <row r="52" ht="15">
      <c r="C52" s="136"/>
    </row>
    <row r="53" ht="15">
      <c r="C53" s="136"/>
    </row>
    <row r="54" ht="15">
      <c r="C54" s="136"/>
    </row>
    <row r="55" ht="15">
      <c r="C55" s="136"/>
    </row>
    <row r="57" spans="1:8" ht="15">
      <c r="A57" s="168" t="s">
        <v>110</v>
      </c>
      <c r="C57" s="184" t="s">
        <v>112</v>
      </c>
      <c r="D57" s="184"/>
      <c r="E57" s="184"/>
      <c r="F57" s="166"/>
      <c r="G57" s="166"/>
      <c r="H57" s="166"/>
    </row>
    <row r="58" spans="1:8" ht="15">
      <c r="A58" s="168" t="s">
        <v>135</v>
      </c>
      <c r="C58" s="184" t="s">
        <v>113</v>
      </c>
      <c r="D58" s="184"/>
      <c r="E58" s="184"/>
      <c r="F58" s="166"/>
      <c r="G58" s="166"/>
      <c r="H58" s="1"/>
    </row>
    <row r="59" spans="1:8" ht="15">
      <c r="A59" s="168" t="s">
        <v>111</v>
      </c>
      <c r="C59" s="184" t="s">
        <v>111</v>
      </c>
      <c r="D59" s="184"/>
      <c r="E59" s="184"/>
      <c r="F59" s="166"/>
      <c r="G59" s="166"/>
      <c r="H59" s="166"/>
    </row>
    <row r="60" ht="15">
      <c r="A60" s="169"/>
    </row>
  </sheetData>
  <sheetProtection/>
  <mergeCells count="8">
    <mergeCell ref="C57:E57"/>
    <mergeCell ref="C58:E58"/>
    <mergeCell ref="C59:E59"/>
    <mergeCell ref="A1:E1"/>
    <mergeCell ref="A2:E2"/>
    <mergeCell ref="A3:E3"/>
    <mergeCell ref="A4:E4"/>
    <mergeCell ref="A51:E51"/>
  </mergeCells>
  <printOptions horizontalCentered="1"/>
  <pageMargins left="0.6692913385826772" right="0.4724409448818898" top="0.7480314960629921" bottom="0.7874015748031497" header="0.31496062992125984" footer="0.31496062992125984"/>
  <pageSetup horizontalDpi="600" verticalDpi="6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Centor</dc:creator>
  <cp:keywords/>
  <dc:description/>
  <cp:lastModifiedBy>Ricardo Iñiguez</cp:lastModifiedBy>
  <cp:lastPrinted>2011-03-31T01:14:56Z</cp:lastPrinted>
  <dcterms:created xsi:type="dcterms:W3CDTF">2011-03-29T06:37:38Z</dcterms:created>
  <dcterms:modified xsi:type="dcterms:W3CDTF">2011-11-15T20:25:08Z</dcterms:modified>
  <cp:category/>
  <cp:version/>
  <cp:contentType/>
  <cp:contentStatus/>
</cp:coreProperties>
</file>